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085" tabRatio="462" activeTab="0"/>
  </bookViews>
  <sheets>
    <sheet name="CIP EMS Facilities" sheetId="1" r:id="rId1"/>
    <sheet name="CIP Fire Facilities" sheetId="2" r:id="rId2"/>
    <sheet name="Footnotes for CIP" sheetId="3" r:id="rId3"/>
    <sheet name="Assumptions" sheetId="4" r:id="rId4"/>
    <sheet name="Heery Data" sheetId="5" r:id="rId5"/>
  </sheets>
  <definedNames>
    <definedName name="_xlnm.Print_Area" localSheetId="1">'CIP Fire Facilities'!$A$1:$AB$61</definedName>
    <definedName name="_xlnm.Print_Area" localSheetId="4">'Heery Data'!$A$1:$AF$58,'Heery Data'!$A$58:$AH$86</definedName>
    <definedName name="_xlnm.Print_Titles" localSheetId="1">'CIP Fire Facilities'!$A:$A</definedName>
    <definedName name="Status">'Assumptions'!$I$1:$I$7</definedName>
  </definedNames>
  <calcPr fullCalcOnLoad="1" iterate="1" iterateCount="100" iterateDelta="0.001"/>
</workbook>
</file>

<file path=xl/sharedStrings.xml><?xml version="1.0" encoding="utf-8"?>
<sst xmlns="http://schemas.openxmlformats.org/spreadsheetml/2006/main" count="795" uniqueCount="260">
  <si>
    <t>Station</t>
  </si>
  <si>
    <t>Status</t>
  </si>
  <si>
    <t>Heery Estimate</t>
  </si>
  <si>
    <t>FY 2004</t>
  </si>
  <si>
    <t>FY 2005</t>
  </si>
  <si>
    <t>FY 2006</t>
  </si>
  <si>
    <t>FY 2007</t>
  </si>
  <si>
    <t>FY 2008</t>
  </si>
  <si>
    <t>FY 2009</t>
  </si>
  <si>
    <t>FY 2010</t>
  </si>
  <si>
    <t>FY 2011</t>
  </si>
  <si>
    <t>FY 2012</t>
  </si>
  <si>
    <t>FY 2013</t>
  </si>
  <si>
    <t>FY 2014</t>
  </si>
  <si>
    <t>FY 2015</t>
  </si>
  <si>
    <t>FY 2016</t>
  </si>
  <si>
    <t>FY 2017</t>
  </si>
  <si>
    <t>FY 2018</t>
  </si>
  <si>
    <t>Apex #1</t>
  </si>
  <si>
    <t>Apex #2</t>
  </si>
  <si>
    <t>Apex #3</t>
  </si>
  <si>
    <t>Bayleaf #1</t>
  </si>
  <si>
    <t>Bayleaf #2</t>
  </si>
  <si>
    <t>Bayleaf #3</t>
  </si>
  <si>
    <t>Durham Highway #1</t>
  </si>
  <si>
    <t>Durham Highway #2</t>
  </si>
  <si>
    <t>Fairview #1</t>
  </si>
  <si>
    <t>Fairview #2</t>
  </si>
  <si>
    <t>Falls #1</t>
  </si>
  <si>
    <t>Type</t>
  </si>
  <si>
    <t>Fuquay-Varina #1</t>
  </si>
  <si>
    <t>Fuquay-Varina #2</t>
  </si>
  <si>
    <t>Garner #1</t>
  </si>
  <si>
    <t>Garner #2</t>
  </si>
  <si>
    <t>Garner #3</t>
  </si>
  <si>
    <t>Holly Springs #1</t>
  </si>
  <si>
    <t>Holly Springs #2</t>
  </si>
  <si>
    <t>Hopkins #1</t>
  </si>
  <si>
    <t>Eastern Wake #1</t>
  </si>
  <si>
    <t>Eastern Wake #2</t>
  </si>
  <si>
    <t>Morrisville #1</t>
  </si>
  <si>
    <t>Morrisville #2</t>
  </si>
  <si>
    <t>Morrisville #3</t>
  </si>
  <si>
    <t>Rolesville #1</t>
  </si>
  <si>
    <t>Stony Hill #1</t>
  </si>
  <si>
    <t>Stony Hill #2</t>
  </si>
  <si>
    <t>Swift Creek #1</t>
  </si>
  <si>
    <t>Wake Forest #1</t>
  </si>
  <si>
    <t>Wake Forest #2</t>
  </si>
  <si>
    <t>Wake-New Hope #1</t>
  </si>
  <si>
    <t>Wake-New Hope #2</t>
  </si>
  <si>
    <t>Wendell #1</t>
  </si>
  <si>
    <t>Wendell #2</t>
  </si>
  <si>
    <t>Western Wake #1</t>
  </si>
  <si>
    <t>Western Wake #2</t>
  </si>
  <si>
    <t>Zebulon #1</t>
  </si>
  <si>
    <t>Close</t>
  </si>
  <si>
    <t>Alt Use</t>
  </si>
  <si>
    <t>Apex #4</t>
  </si>
  <si>
    <t>New</t>
  </si>
  <si>
    <t>OK</t>
  </si>
  <si>
    <t>Ren</t>
  </si>
  <si>
    <t>Garner #4</t>
  </si>
  <si>
    <t>Eastern Wake #3</t>
  </si>
  <si>
    <t>Swift Creek #2</t>
  </si>
  <si>
    <t>Wake Forest #3</t>
  </si>
  <si>
    <t>Action Date</t>
  </si>
  <si>
    <t>Bayleaf #4</t>
  </si>
  <si>
    <t>CID</t>
  </si>
  <si>
    <t>Six Forks Rescue</t>
  </si>
  <si>
    <t>Knightdale EMS</t>
  </si>
  <si>
    <t>Rolesville EMS</t>
  </si>
  <si>
    <t>Wendell EMS</t>
  </si>
  <si>
    <t>Zebulon EMS</t>
  </si>
  <si>
    <t>Fuquay-Varina #3</t>
  </si>
  <si>
    <t>Garner EMS</t>
  </si>
  <si>
    <t>Apex EMS</t>
  </si>
  <si>
    <t>Cary EMS</t>
  </si>
  <si>
    <t>E1</t>
  </si>
  <si>
    <t>EMS1</t>
  </si>
  <si>
    <t>E2</t>
  </si>
  <si>
    <t>E3</t>
  </si>
  <si>
    <t>E4</t>
  </si>
  <si>
    <t>E5</t>
  </si>
  <si>
    <t>E6</t>
  </si>
  <si>
    <t>E7</t>
  </si>
  <si>
    <t>E8</t>
  </si>
  <si>
    <t>E10</t>
  </si>
  <si>
    <t>EMS2</t>
  </si>
  <si>
    <t>EMS3</t>
  </si>
  <si>
    <t>EMS4</t>
  </si>
  <si>
    <t>EMS5</t>
  </si>
  <si>
    <t>EMS6</t>
  </si>
  <si>
    <t>EMS7</t>
  </si>
  <si>
    <t>EMS8</t>
  </si>
  <si>
    <t>EMS10</t>
  </si>
  <si>
    <t>Holly Springs EMS</t>
  </si>
  <si>
    <t>ZZZZ</t>
  </si>
  <si>
    <t>Total Cost</t>
  </si>
  <si>
    <t>Acres Needed</t>
  </si>
  <si>
    <t>Reg.</t>
  </si>
  <si>
    <t>ES</t>
  </si>
  <si>
    <t>Land Cost</t>
  </si>
  <si>
    <t>Total</t>
  </si>
  <si>
    <t>Life Safety</t>
  </si>
  <si>
    <t>6A</t>
  </si>
  <si>
    <t>Emer Prep</t>
  </si>
  <si>
    <t>Code Compl.</t>
  </si>
  <si>
    <t>Veh. Exhaust</t>
  </si>
  <si>
    <t>ADA Compl.</t>
  </si>
  <si>
    <t>EMS</t>
  </si>
  <si>
    <t>Cost Avoidance</t>
  </si>
  <si>
    <t>Heery</t>
  </si>
  <si>
    <t>Total for Selected</t>
  </si>
  <si>
    <t>Work</t>
  </si>
  <si>
    <t>Bldg. Env.</t>
  </si>
  <si>
    <t>Sys. Reliab.</t>
  </si>
  <si>
    <t>Life Cycle</t>
  </si>
  <si>
    <t>Bunk Room</t>
  </si>
  <si>
    <t>Funct. Proto.</t>
  </si>
  <si>
    <t>Aesth. Proto.</t>
  </si>
  <si>
    <t>Escalation</t>
  </si>
  <si>
    <t>FF&amp;E</t>
  </si>
  <si>
    <t>Prof. Svcs.</t>
  </si>
  <si>
    <t>Reg. Fees</t>
  </si>
  <si>
    <t>Contingency</t>
  </si>
  <si>
    <t>Starting Year</t>
  </si>
  <si>
    <t xml:space="preserve"> </t>
  </si>
  <si>
    <t>x</t>
  </si>
  <si>
    <t>User editable assumptions are in yellow boxes.</t>
  </si>
  <si>
    <t>Do not attempt to edit any other portion of this sheet.</t>
  </si>
  <si>
    <t>Notes to Users:</t>
  </si>
  <si>
    <t>Region</t>
  </si>
  <si>
    <t>Cost Escalation Functions</t>
  </si>
  <si>
    <t>Place an 'X' in a blue box to include a task.</t>
  </si>
  <si>
    <t>Adj. Cost Avoidance</t>
  </si>
  <si>
    <t>Knightdale #2</t>
  </si>
  <si>
    <t>FES</t>
  </si>
  <si>
    <t>FHQ</t>
  </si>
  <si>
    <t>FS</t>
  </si>
  <si>
    <t>FEHQ</t>
  </si>
  <si>
    <t>EHQ</t>
  </si>
  <si>
    <t>SW</t>
  </si>
  <si>
    <t>NE</t>
  </si>
  <si>
    <t>NW</t>
  </si>
  <si>
    <t>SE</t>
  </si>
  <si>
    <t>N/A</t>
  </si>
  <si>
    <t>E15</t>
  </si>
  <si>
    <t>EMS15</t>
  </si>
  <si>
    <t>EFHQ</t>
  </si>
  <si>
    <t>EMSHQ</t>
  </si>
  <si>
    <r>
      <t xml:space="preserve">Apex #1 </t>
    </r>
    <r>
      <rPr>
        <sz val="8"/>
        <rFont val="Arial"/>
        <family val="2"/>
      </rPr>
      <t>(Footnote #1)</t>
    </r>
  </si>
  <si>
    <r>
      <t xml:space="preserve">Apex #4 </t>
    </r>
    <r>
      <rPr>
        <sz val="8"/>
        <rFont val="Arial"/>
        <family val="2"/>
      </rPr>
      <t>(Footnote #1)</t>
    </r>
  </si>
  <si>
    <r>
      <t xml:space="preserve">Fuquay-Varina #4 </t>
    </r>
    <r>
      <rPr>
        <sz val="8"/>
        <rFont val="Arial"/>
        <family val="2"/>
      </rPr>
      <t>(Footnote #1)</t>
    </r>
  </si>
  <si>
    <r>
      <t xml:space="preserve">Garner #1 </t>
    </r>
    <r>
      <rPr>
        <sz val="8"/>
        <rFont val="Arial"/>
        <family val="2"/>
      </rPr>
      <t>(Footnote #2)</t>
    </r>
  </si>
  <si>
    <r>
      <t xml:space="preserve">Knightdale #1 </t>
    </r>
    <r>
      <rPr>
        <sz val="8"/>
        <rFont val="Arial"/>
        <family val="2"/>
      </rPr>
      <t>(Footnote #1)</t>
    </r>
  </si>
  <si>
    <r>
      <t xml:space="preserve">Knightdale #2 </t>
    </r>
    <r>
      <rPr>
        <sz val="8"/>
        <rFont val="Arial"/>
        <family val="2"/>
      </rPr>
      <t>(Footnote #1)</t>
    </r>
  </si>
  <si>
    <r>
      <t xml:space="preserve">Wake Forest #3 </t>
    </r>
    <r>
      <rPr>
        <sz val="8"/>
        <rFont val="Arial"/>
        <family val="2"/>
      </rPr>
      <t>(Footnote #2)</t>
    </r>
  </si>
  <si>
    <r>
      <t>Wake Forest #4</t>
    </r>
    <r>
      <rPr>
        <sz val="8"/>
        <rFont val="Arial"/>
        <family val="2"/>
      </rPr>
      <t xml:space="preserve"> (Footnote #2)</t>
    </r>
  </si>
  <si>
    <r>
      <t xml:space="preserve">Stony Hill #1 </t>
    </r>
    <r>
      <rPr>
        <sz val="8"/>
        <rFont val="Arial"/>
        <family val="2"/>
      </rPr>
      <t>(Footnotes #3 &amp; $4)</t>
    </r>
  </si>
  <si>
    <t>#2</t>
  </si>
  <si>
    <t>#3</t>
  </si>
  <si>
    <t>This station is already  under construction and budgeted. No additional construction costs are shown.</t>
  </si>
  <si>
    <t>#4</t>
  </si>
  <si>
    <t>This station is a joint fire and EMS station. The costs are shared between the two disciplines.</t>
  </si>
  <si>
    <r>
      <t>Bayleaf #3</t>
    </r>
    <r>
      <rPr>
        <sz val="8"/>
        <rFont val="Arial"/>
        <family val="2"/>
      </rPr>
      <t xml:space="preserve"> (Footnote #5)</t>
    </r>
  </si>
  <si>
    <r>
      <t xml:space="preserve">Six Forks Rescue </t>
    </r>
    <r>
      <rPr>
        <sz val="8"/>
        <rFont val="Arial"/>
        <family val="2"/>
      </rPr>
      <t>(Footnote #5)</t>
    </r>
  </si>
  <si>
    <t>#5</t>
  </si>
  <si>
    <t>This station is recommended to be vacated for fire service use but maintained for EMS use.</t>
  </si>
  <si>
    <r>
      <t xml:space="preserve">Rolesville EMS </t>
    </r>
    <r>
      <rPr>
        <sz val="8"/>
        <rFont val="Arial"/>
        <family val="2"/>
      </rPr>
      <t>(Footnote #3)</t>
    </r>
  </si>
  <si>
    <t>Holly Springs #2 (Footnote #1 &amp; #3)</t>
  </si>
  <si>
    <t>Department Organization</t>
  </si>
  <si>
    <t>Municipal</t>
  </si>
  <si>
    <t>Private-Non-Profit</t>
  </si>
  <si>
    <t>County</t>
  </si>
  <si>
    <t>#6</t>
  </si>
  <si>
    <t>New Construction Cost</t>
  </si>
  <si>
    <t>#7</t>
  </si>
  <si>
    <t xml:space="preserve">This is a municipal fire station, This station is constructed for relocation as a result of railroad line expansion and not as a result of service needs. No costs are shown. </t>
  </si>
  <si>
    <r>
      <t xml:space="preserve">Morrisville #1 </t>
    </r>
    <r>
      <rPr>
        <sz val="8"/>
        <rFont val="Arial"/>
        <family val="2"/>
      </rPr>
      <t>(Footnote #7)</t>
    </r>
  </si>
  <si>
    <t>Total for</t>
  </si>
  <si>
    <t>FY 04</t>
  </si>
  <si>
    <t>FY 05</t>
  </si>
  <si>
    <t>Total Left Over for</t>
  </si>
  <si>
    <t>FY05</t>
  </si>
  <si>
    <t>Land and Construction Cost</t>
  </si>
  <si>
    <t>Dormitory Improvements (Design and Bidding)</t>
  </si>
  <si>
    <r>
      <t xml:space="preserve">Garner #4 </t>
    </r>
    <r>
      <rPr>
        <sz val="8"/>
        <rFont val="Arial"/>
        <family val="2"/>
      </rPr>
      <t>(Footnote #8)</t>
    </r>
  </si>
  <si>
    <t>#8</t>
  </si>
  <si>
    <t>#9</t>
  </si>
  <si>
    <r>
      <t xml:space="preserve">Bayleaf #1 </t>
    </r>
    <r>
      <rPr>
        <sz val="8"/>
        <rFont val="Arial"/>
        <family val="2"/>
      </rPr>
      <t>(Footnote #9)</t>
    </r>
  </si>
  <si>
    <t>Given recommendation to close Station #3, funds are allocated for additional space at Bay Leaf #1. Prior to spending funds to add additional space to Station #1, Wake County should thoroughly analyze all options to meet space needs of Bay Leaf fire department.</t>
  </si>
  <si>
    <t>FY 04 total for 1 - 6</t>
  </si>
  <si>
    <t>FY 05 total for 1 - 6</t>
  </si>
  <si>
    <t>total for 1-6</t>
  </si>
  <si>
    <t>fy 05</t>
  </si>
  <si>
    <t>total ada and protoptype</t>
  </si>
  <si>
    <t>Aestethic Programmatic Renovations</t>
  </si>
  <si>
    <r>
      <t xml:space="preserve">Functional Programmatic Renovations </t>
    </r>
    <r>
      <rPr>
        <sz val="8"/>
        <rFont val="Arial"/>
        <family val="2"/>
      </rPr>
      <t>(Footnote #10)</t>
    </r>
  </si>
  <si>
    <t>#10</t>
  </si>
  <si>
    <t>These funds are to conduct update/analysis of functional programmatic renovation requirements.</t>
  </si>
  <si>
    <t>Tethered Electrical Shoreline Connection Upgrade</t>
  </si>
  <si>
    <t>#11</t>
  </si>
  <si>
    <t>$48,400 budgeted in FY 2005 to accommodate relocation of an EMS unit to a fire station.</t>
  </si>
  <si>
    <t>#12</t>
  </si>
  <si>
    <t>$193,600 budgeted in FY 2005 to accommodate relocation of an EMS unit to a fire station.</t>
  </si>
  <si>
    <r>
      <t>EMS6</t>
    </r>
    <r>
      <rPr>
        <sz val="8"/>
        <rFont val="Arial"/>
        <family val="2"/>
      </rPr>
      <t xml:space="preserve"> (Footnote #11)</t>
    </r>
  </si>
  <si>
    <r>
      <t xml:space="preserve">Wendell EMS </t>
    </r>
    <r>
      <rPr>
        <sz val="8"/>
        <rFont val="Arial"/>
        <family val="2"/>
      </rPr>
      <t>(Footnote #11)</t>
    </r>
  </si>
  <si>
    <r>
      <t xml:space="preserve">Garner EMS </t>
    </r>
    <r>
      <rPr>
        <sz val="8"/>
        <rFont val="Arial"/>
        <family val="2"/>
      </rPr>
      <t>(Footnote #11)</t>
    </r>
  </si>
  <si>
    <t>#13</t>
  </si>
  <si>
    <r>
      <t xml:space="preserve">Garner EMS </t>
    </r>
    <r>
      <rPr>
        <sz val="8"/>
        <rFont val="Arial"/>
        <family val="2"/>
      </rPr>
      <t>(Footnote #14)</t>
    </r>
  </si>
  <si>
    <t>#14</t>
  </si>
  <si>
    <t>This is an EMS unit relocation to the relocated Garner Fire Station #1. Costs split 77% fire and 23% EMS.</t>
  </si>
  <si>
    <t>EFS</t>
  </si>
  <si>
    <t xml:space="preserve">This is a joint Fire/EMS station. Cost allocation for Fire is shown under the Fire Stations, and cost allocation for EMS stations is shown under EMS. Costs split 77% fire and 23% EMS. </t>
  </si>
  <si>
    <r>
      <t xml:space="preserve">EMS15 </t>
    </r>
    <r>
      <rPr>
        <sz val="8"/>
        <rFont val="Arial"/>
        <family val="2"/>
      </rPr>
      <t>(Footnote #6 and #15)</t>
    </r>
  </si>
  <si>
    <t>#15</t>
  </si>
  <si>
    <t>Costs shown are for a joint Fire/EMS station. Consideration may be given to relocating EMS unit at the northern Wake hospital.</t>
  </si>
  <si>
    <t>Funds for this station are already budgeted in Wake County's CIP. The total project cost estiamtes in Wake County's CIP is $1,702,120. Of that amount, $275,00 is funded prior to FY 04, and $1,427,120 is funded in FY 04.</t>
  </si>
  <si>
    <t xml:space="preserve">EMS Scenario recommends closing current EMS Station 1 and opening one new station and relocating two additional units. $242,000 budgeted in FY 2005 for two relocations. </t>
  </si>
  <si>
    <r>
      <t xml:space="preserve">EMS1 </t>
    </r>
    <r>
      <rPr>
        <sz val="8"/>
        <rFont val="Arial"/>
        <family val="2"/>
      </rPr>
      <t>(Footnote #16)</t>
    </r>
  </si>
  <si>
    <t>#16</t>
  </si>
  <si>
    <t>This is a new station to accommodate units relocated due to closing of current EMS Station 1.</t>
  </si>
  <si>
    <t>#17</t>
  </si>
  <si>
    <t>Given recommendation to relocate an EMS unit to a fire station not recommended for future fire use, HEERY costs are allocated to the appropriate EMS agency.</t>
  </si>
  <si>
    <r>
      <t xml:space="preserve">Cary EMS </t>
    </r>
    <r>
      <rPr>
        <sz val="8"/>
        <rFont val="Arial"/>
        <family val="2"/>
      </rPr>
      <t>(Footnote #11, #12 and #17)</t>
    </r>
  </si>
  <si>
    <r>
      <t>EMS1</t>
    </r>
    <r>
      <rPr>
        <sz val="8"/>
        <rFont val="Arial"/>
        <family val="2"/>
      </rPr>
      <t xml:space="preserve"> (Footnote #13 and #17)</t>
    </r>
  </si>
  <si>
    <r>
      <t>Wake-New Hope #1</t>
    </r>
    <r>
      <rPr>
        <sz val="8"/>
        <rFont val="Arial"/>
        <family val="2"/>
      </rPr>
      <t xml:space="preserve"> (Footnote #17)</t>
    </r>
  </si>
  <si>
    <r>
      <t>Morrisville #3</t>
    </r>
    <r>
      <rPr>
        <sz val="8"/>
        <rFont val="Arial"/>
        <family val="2"/>
      </rPr>
      <t xml:space="preserve"> (Footnote #17)</t>
    </r>
  </si>
  <si>
    <r>
      <t>TOTAL</t>
    </r>
    <r>
      <rPr>
        <b/>
        <sz val="8"/>
        <rFont val="Arial"/>
        <family val="2"/>
      </rPr>
      <t xml:space="preserve"> (Footnote #18)</t>
    </r>
  </si>
  <si>
    <r>
      <t xml:space="preserve">TOTAL </t>
    </r>
    <r>
      <rPr>
        <b/>
        <sz val="8"/>
        <rFont val="Arial"/>
        <family val="2"/>
      </rPr>
      <t>(Footnote #18)</t>
    </r>
  </si>
  <si>
    <t>#18</t>
  </si>
  <si>
    <t>Total cost does not reflect sources of funds. Funding sources include but are not limited to fire tax revenues, general fund revenues, departmental fund balances, corporate donations, etc.</t>
  </si>
  <si>
    <t>This station is a municipal fire station. Construction cost shown is the total anticipated construction cost for the prototype fire station. Construction costs are recommended to be shared between the County and the municipality. County cost share shown in column titled "County Cost Share Amount." County costs are spread over two years.</t>
  </si>
  <si>
    <t>This station is operated by a private non-profit corporation (PNP) that serves both municipal and unincorporated areas. The construction costs are recommended to be shared between the County and the municipality. County cost share shown in column titled "County Cost Share Amount." County costs are spread over two years.</t>
  </si>
  <si>
    <t>#19</t>
  </si>
  <si>
    <t>#20</t>
  </si>
  <si>
    <t>#21</t>
  </si>
  <si>
    <t>#22</t>
  </si>
  <si>
    <t>#23</t>
  </si>
  <si>
    <t>Station Types: EFHQ=EMS Portion of Fire/EMS headquarters co-location prototype. EMSHQ=EMS headquarters station prototype. ES=EMS substation prototype. EFS=EMS portion of EMS/Fire substation co-location prototype. FEHQ=Fire portion of Fire/EMS co-location prototype. FES=Fire portion of fire/EMS prototype substation. FHQ=Fire headquarters prototype. FS=Fire substation prototype.</t>
  </si>
  <si>
    <t>New construction cost data supplied by Wake County Facilities Design and Construction and based on construction of Wake County prototype plans.</t>
  </si>
  <si>
    <t>This Capital Improvement Plan is a recommendation of Tri-Data based in part on data provided by Wake County staff. Note: Shaded rows are new stations for private non-proft corporation fire departments.</t>
  </si>
  <si>
    <r>
      <t>Station Type</t>
    </r>
    <r>
      <rPr>
        <b/>
        <sz val="8"/>
        <color indexed="9"/>
        <rFont val="Arial"/>
        <family val="2"/>
      </rPr>
      <t xml:space="preserve"> (Footnote #20)</t>
    </r>
  </si>
  <si>
    <r>
      <t>Land Cost</t>
    </r>
    <r>
      <rPr>
        <b/>
        <sz val="8"/>
        <color indexed="9"/>
        <rFont val="Arial"/>
        <family val="2"/>
      </rPr>
      <t xml:space="preserve"> (Footnote #21)</t>
    </r>
  </si>
  <si>
    <r>
      <t>New Construction Cost</t>
    </r>
    <r>
      <rPr>
        <b/>
        <sz val="8"/>
        <color indexed="9"/>
        <rFont val="Arial"/>
        <family val="2"/>
      </rPr>
      <t xml:space="preserve"> (Footnote #22)</t>
    </r>
  </si>
  <si>
    <r>
      <t xml:space="preserve">County Cost Share Amount </t>
    </r>
    <r>
      <rPr>
        <b/>
        <sz val="8"/>
        <color indexed="9"/>
        <rFont val="Arial"/>
        <family val="2"/>
      </rPr>
      <t>(Footnote #19)</t>
    </r>
  </si>
  <si>
    <t>Under Construction</t>
  </si>
  <si>
    <t>#24</t>
  </si>
  <si>
    <t>Project completion date represents when a particular station is needed based on demand analysis. Given the need to spread new station funding over two year consecutive years, three stations are projected to be needed in FY 05 but are funded in FY 05 and FY 06. Therefore the project completion date for these three stations in the CIP chart is FY 06. The three stations are Garner #1, Knightdale #1 and Knightdale #2.</t>
  </si>
  <si>
    <t>Project Completion Date (Footnote #24)</t>
  </si>
  <si>
    <t>Bayleaf #4 (Footnote #6)</t>
  </si>
  <si>
    <t>#25</t>
  </si>
  <si>
    <t>All costs shown are in 2004 dollars (January 1, 2004). Project costs for projects implemented after January 1, 2004, will need to have appropriate annual escalation factor(s) applied.</t>
  </si>
  <si>
    <t>Land cost data supplied by Wake County Facilities Design and Construction Department.</t>
  </si>
  <si>
    <t>County cost shown is calculated based on the "North Shore" formula.</t>
  </si>
  <si>
    <t>Footnotes for CIP EMS and Fire Facilities</t>
  </si>
  <si>
    <t>Table 26A: Capital Fund Facilities Plan for Wake County EMS Facilities (Footnote #23 and Footnote #25)</t>
  </si>
  <si>
    <r>
      <t xml:space="preserve">Table 26B: Capital Plan for Wake County Fire Facilities </t>
    </r>
    <r>
      <rPr>
        <b/>
        <sz val="10"/>
        <rFont val="Arial"/>
        <family val="2"/>
      </rPr>
      <t>(Footnote #23 and Footnote #25)</t>
    </r>
  </si>
  <si>
    <t>Footnotes for Tables 26A and 26B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</si>
</sst>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409]dddd\,\ mmmm\ dd\,\ yyyy"/>
    <numFmt numFmtId="167" formatCode="_(&quot;$&quot;* #,##0.000_);_(&quot;$&quot;* \(#,##0.000\);_(&quot;$&quot;* &quot;-&quot;??_);_(@_)"/>
    <numFmt numFmtId="168" formatCode="_(&quot;$&quot;* #,##0.0000_);_(&quot;$&quot;* \(#,##0.0000\);_(&quot;$&quot;* &quot;-&quot;??_);_(@_)"/>
    <numFmt numFmtId="169" formatCode="&quot;$&quot;#,##0"/>
    <numFmt numFmtId="170" formatCode="&quot;$&quot;#,##0.00"/>
  </numFmts>
  <fonts count="14">
    <font>
      <sz val="10"/>
      <name val="Arial"/>
      <family val="0"/>
    </font>
    <font>
      <sz val="10"/>
      <color indexed="9"/>
      <name val="Arial"/>
      <family val="0"/>
    </font>
    <font>
      <b/>
      <sz val="10"/>
      <name val="Arial"/>
      <family val="2"/>
    </font>
    <font>
      <b/>
      <sz val="14"/>
      <name val="Arial"/>
      <family val="2"/>
    </font>
    <font>
      <b/>
      <sz val="10"/>
      <color indexed="12"/>
      <name val="Arial"/>
      <family val="2"/>
    </font>
    <font>
      <b/>
      <u val="single"/>
      <sz val="10"/>
      <color indexed="9"/>
      <name val="Arial"/>
      <family val="2"/>
    </font>
    <font>
      <b/>
      <sz val="10"/>
      <color indexed="9"/>
      <name val="Arial"/>
      <family val="2"/>
    </font>
    <font>
      <u val="single"/>
      <sz val="7.5"/>
      <color indexed="12"/>
      <name val="Arial"/>
      <family val="0"/>
    </font>
    <font>
      <u val="single"/>
      <sz val="7.5"/>
      <color indexed="36"/>
      <name val="Arial"/>
      <family val="0"/>
    </font>
    <font>
      <sz val="8"/>
      <name val="Arial"/>
      <family val="2"/>
    </font>
    <font>
      <b/>
      <sz val="10"/>
      <name val="Tahoma"/>
      <family val="2"/>
    </font>
    <font>
      <b/>
      <sz val="8"/>
      <name val="Arial"/>
      <family val="2"/>
    </font>
    <font>
      <b/>
      <sz val="8"/>
      <color indexed="9"/>
      <name val="Arial"/>
      <family val="2"/>
    </font>
    <font>
      <b/>
      <sz val="12"/>
      <name val="Arial"/>
      <family val="2"/>
    </font>
  </fonts>
  <fills count="9">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1"/>
        <bgColor indexed="64"/>
      </patternFill>
    </fill>
    <fill>
      <patternFill patternType="solid">
        <fgColor indexed="14"/>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s>
  <borders count="5">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2" borderId="0" xfId="0" applyFont="1" applyFill="1" applyAlignment="1">
      <alignment horizontal="center" wrapText="1"/>
    </xf>
    <xf numFmtId="0" fontId="1" fillId="0" borderId="0" xfId="0" applyFont="1" applyFill="1" applyAlignment="1">
      <alignment horizontal="center" wrapText="1"/>
    </xf>
    <xf numFmtId="0" fontId="0" fillId="0" borderId="0" xfId="0" applyAlignment="1">
      <alignment horizontal="center"/>
    </xf>
    <xf numFmtId="165" fontId="0" fillId="0" borderId="0" xfId="17" applyNumberFormat="1" applyAlignment="1">
      <alignment/>
    </xf>
    <xf numFmtId="0" fontId="2" fillId="0" borderId="0" xfId="0" applyFont="1" applyAlignment="1">
      <alignment/>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horizontal="right" wrapText="1"/>
    </xf>
    <xf numFmtId="0" fontId="0" fillId="0" borderId="0" xfId="0" applyAlignment="1">
      <alignment horizontal="right"/>
    </xf>
    <xf numFmtId="0" fontId="0" fillId="0" borderId="0" xfId="0" applyFont="1" applyAlignment="1">
      <alignment/>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0" fillId="3" borderId="0" xfId="0" applyFill="1" applyAlignment="1">
      <alignment/>
    </xf>
    <xf numFmtId="0" fontId="0" fillId="0" borderId="1" xfId="0" applyBorder="1" applyAlignment="1">
      <alignment/>
    </xf>
    <xf numFmtId="0" fontId="1" fillId="2" borderId="1" xfId="0" applyFont="1" applyFill="1" applyBorder="1" applyAlignment="1">
      <alignment horizontal="center" wrapText="1"/>
    </xf>
    <xf numFmtId="0" fontId="0" fillId="3" borderId="1" xfId="0" applyFill="1" applyBorder="1" applyAlignment="1">
      <alignment/>
    </xf>
    <xf numFmtId="0" fontId="0" fillId="3" borderId="0" xfId="0" applyFill="1" applyBorder="1" applyAlignment="1">
      <alignment/>
    </xf>
    <xf numFmtId="0" fontId="0" fillId="0" borderId="0" xfId="0" applyFont="1" applyAlignment="1">
      <alignment/>
    </xf>
    <xf numFmtId="0" fontId="0" fillId="0" borderId="0" xfId="0" applyBorder="1" applyAlignment="1">
      <alignment/>
    </xf>
    <xf numFmtId="0" fontId="1" fillId="2" borderId="0" xfId="0" applyFont="1" applyFill="1" applyBorder="1" applyAlignment="1">
      <alignment horizontal="center" wrapText="1"/>
    </xf>
    <xf numFmtId="0" fontId="0" fillId="3" borderId="0" xfId="0" applyFont="1" applyFill="1" applyAlignment="1">
      <alignment horizontal="right" wrapText="1"/>
    </xf>
    <xf numFmtId="0" fontId="0" fillId="4" borderId="0" xfId="0" applyFill="1" applyAlignment="1">
      <alignment/>
    </xf>
    <xf numFmtId="0" fontId="2" fillId="4" borderId="0" xfId="0" applyFont="1" applyFill="1" applyAlignment="1">
      <alignment/>
    </xf>
    <xf numFmtId="0" fontId="0" fillId="4" borderId="0" xfId="0" applyFill="1" applyBorder="1" applyAlignment="1">
      <alignment/>
    </xf>
    <xf numFmtId="0" fontId="0" fillId="0" borderId="0" xfId="0" applyFill="1" applyAlignment="1">
      <alignment/>
    </xf>
    <xf numFmtId="0" fontId="0" fillId="5" borderId="0" xfId="0" applyFill="1" applyAlignment="1">
      <alignment/>
    </xf>
    <xf numFmtId="0" fontId="4" fillId="0" borderId="0" xfId="0" applyFont="1" applyAlignment="1">
      <alignment/>
    </xf>
    <xf numFmtId="165" fontId="0" fillId="6" borderId="0" xfId="17" applyNumberFormat="1" applyFill="1" applyAlignment="1" applyProtection="1">
      <alignment/>
      <protection locked="0"/>
    </xf>
    <xf numFmtId="0" fontId="0" fillId="6" borderId="0" xfId="0" applyFill="1" applyAlignment="1" applyProtection="1">
      <alignment/>
      <protection locked="0"/>
    </xf>
    <xf numFmtId="0" fontId="1" fillId="0" borderId="0" xfId="0" applyFont="1" applyAlignment="1">
      <alignment/>
    </xf>
    <xf numFmtId="0" fontId="0" fillId="6" borderId="0" xfId="15" applyNumberFormat="1" applyFont="1" applyFill="1" applyAlignment="1" applyProtection="1">
      <alignment/>
      <protection locked="0"/>
    </xf>
    <xf numFmtId="10" fontId="0" fillId="6" borderId="0" xfId="0" applyNumberFormat="1" applyFill="1" applyAlignment="1" applyProtection="1">
      <alignment/>
      <protection locked="0"/>
    </xf>
    <xf numFmtId="9" fontId="0" fillId="6" borderId="0" xfId="0" applyNumberFormat="1" applyFill="1" applyAlignment="1" applyProtection="1">
      <alignment/>
      <protection locked="0"/>
    </xf>
    <xf numFmtId="165" fontId="0" fillId="0" borderId="0" xfId="17" applyNumberFormat="1" applyFill="1" applyAlignment="1" applyProtection="1">
      <alignment/>
      <protection locked="0"/>
    </xf>
    <xf numFmtId="0" fontId="0" fillId="0" borderId="0" xfId="0" applyFill="1" applyAlignment="1" applyProtection="1">
      <alignment/>
      <protection locked="0"/>
    </xf>
    <xf numFmtId="0" fontId="5" fillId="7" borderId="0" xfId="0" applyFont="1" applyFill="1" applyAlignment="1">
      <alignment/>
    </xf>
    <xf numFmtId="0" fontId="1" fillId="7" borderId="0" xfId="0" applyFont="1" applyFill="1" applyAlignment="1">
      <alignment/>
    </xf>
    <xf numFmtId="0" fontId="6" fillId="7" borderId="0" xfId="0" applyFont="1" applyFill="1" applyAlignment="1">
      <alignment/>
    </xf>
    <xf numFmtId="0" fontId="2" fillId="0" borderId="2" xfId="0" applyFont="1" applyBorder="1" applyAlignment="1">
      <alignment/>
    </xf>
    <xf numFmtId="0" fontId="0" fillId="0" borderId="2" xfId="0" applyBorder="1" applyAlignment="1" applyProtection="1">
      <alignment/>
      <protection locked="0"/>
    </xf>
    <xf numFmtId="0" fontId="2" fillId="0" borderId="0" xfId="0" applyFont="1" applyBorder="1" applyAlignment="1">
      <alignment/>
    </xf>
    <xf numFmtId="0" fontId="6" fillId="2" borderId="0" xfId="0" applyFont="1" applyFill="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2" fillId="8" borderId="0"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2" fillId="8"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2" fillId="4" borderId="0" xfId="0" applyFont="1" applyFill="1" applyAlignment="1" applyProtection="1">
      <alignment horizontal="center"/>
      <protection locked="0"/>
    </xf>
    <xf numFmtId="165" fontId="0" fillId="0" borderId="0" xfId="17" applyNumberFormat="1" applyBorder="1" applyAlignment="1">
      <alignment/>
    </xf>
    <xf numFmtId="165" fontId="0" fillId="0" borderId="0" xfId="17" applyNumberFormat="1" applyFont="1" applyAlignment="1">
      <alignment/>
    </xf>
    <xf numFmtId="0" fontId="0" fillId="0" borderId="0" xfId="0" applyAlignment="1">
      <alignment wrapText="1"/>
    </xf>
    <xf numFmtId="0" fontId="0" fillId="0" borderId="0" xfId="0" applyAlignment="1">
      <alignment/>
    </xf>
    <xf numFmtId="1" fontId="0" fillId="0" borderId="0" xfId="0" applyNumberFormat="1" applyBorder="1" applyAlignment="1">
      <alignment/>
    </xf>
    <xf numFmtId="1" fontId="0" fillId="0" borderId="0" xfId="0" applyNumberFormat="1" applyAlignment="1">
      <alignment/>
    </xf>
    <xf numFmtId="1" fontId="0" fillId="3" borderId="0" xfId="0" applyNumberFormat="1" applyFill="1" applyAlignment="1">
      <alignment/>
    </xf>
    <xf numFmtId="0" fontId="0" fillId="3" borderId="0" xfId="0" applyFill="1" applyAlignment="1">
      <alignment wrapText="1"/>
    </xf>
    <xf numFmtId="0" fontId="0" fillId="3" borderId="0" xfId="0" applyFill="1" applyAlignment="1">
      <alignment horizontal="center"/>
    </xf>
    <xf numFmtId="165" fontId="0" fillId="3" borderId="0" xfId="17" applyNumberFormat="1" applyFill="1" applyAlignment="1">
      <alignment/>
    </xf>
    <xf numFmtId="165" fontId="0" fillId="3" borderId="0" xfId="17" applyNumberFormat="1" applyFont="1" applyFill="1" applyAlignment="1">
      <alignment/>
    </xf>
    <xf numFmtId="165" fontId="0" fillId="3" borderId="0" xfId="17" applyNumberFormat="1" applyFill="1" applyBorder="1" applyAlignment="1">
      <alignment/>
    </xf>
    <xf numFmtId="0" fontId="0" fillId="0" borderId="0" xfId="0" applyFill="1" applyAlignment="1">
      <alignment wrapText="1"/>
    </xf>
    <xf numFmtId="0" fontId="0" fillId="0" borderId="0" xfId="0" applyFill="1" applyAlignment="1">
      <alignment horizontal="center"/>
    </xf>
    <xf numFmtId="165" fontId="0" fillId="0" borderId="0" xfId="17" applyNumberFormat="1" applyFill="1" applyAlignment="1">
      <alignment/>
    </xf>
    <xf numFmtId="165" fontId="0" fillId="0" borderId="0" xfId="17" applyNumberFormat="1" applyFont="1" applyFill="1" applyAlignment="1">
      <alignment/>
    </xf>
    <xf numFmtId="0" fontId="0" fillId="3" borderId="0" xfId="0" applyFill="1" applyAlignment="1">
      <alignment horizontal="right"/>
    </xf>
    <xf numFmtId="0" fontId="0" fillId="3" borderId="0" xfId="0" applyFont="1" applyFill="1" applyAlignment="1">
      <alignment horizontal="left" wrapText="1"/>
    </xf>
    <xf numFmtId="0" fontId="0" fillId="3" borderId="0" xfId="0" applyFont="1" applyFill="1" applyAlignment="1">
      <alignment horizontal="center" wrapText="1"/>
    </xf>
    <xf numFmtId="16" fontId="6" fillId="2" borderId="0" xfId="0" applyNumberFormat="1" applyFont="1" applyFill="1" applyAlignment="1" applyProtection="1">
      <alignment horizontal="center" wrapText="1"/>
      <protection locked="0"/>
    </xf>
    <xf numFmtId="2" fontId="0" fillId="0" borderId="0" xfId="0" applyNumberFormat="1" applyAlignment="1">
      <alignment/>
    </xf>
    <xf numFmtId="0" fontId="0" fillId="0" borderId="0" xfId="0" applyBorder="1" applyAlignment="1">
      <alignment wrapText="1"/>
    </xf>
    <xf numFmtId="0" fontId="0" fillId="0" borderId="0" xfId="0" applyBorder="1" applyAlignment="1">
      <alignment horizontal="center"/>
    </xf>
    <xf numFmtId="165" fontId="0" fillId="0" borderId="0" xfId="17" applyNumberFormat="1" applyFont="1" applyBorder="1" applyAlignment="1">
      <alignment/>
    </xf>
    <xf numFmtId="0" fontId="0" fillId="0" borderId="0" xfId="0" applyFill="1" applyBorder="1" applyAlignment="1">
      <alignment/>
    </xf>
    <xf numFmtId="170" fontId="0" fillId="0" borderId="0" xfId="0" applyNumberFormat="1" applyAlignment="1">
      <alignment/>
    </xf>
    <xf numFmtId="0" fontId="0" fillId="3" borderId="0" xfId="0" applyFont="1" applyFill="1" applyBorder="1" applyAlignment="1">
      <alignment horizontal="right" wrapText="1"/>
    </xf>
    <xf numFmtId="0" fontId="0" fillId="3" borderId="0" xfId="0" applyFont="1" applyFill="1" applyBorder="1" applyAlignment="1">
      <alignment horizontal="left" wrapText="1"/>
    </xf>
    <xf numFmtId="0" fontId="0" fillId="3" borderId="0" xfId="0" applyFont="1" applyFill="1" applyBorder="1" applyAlignment="1">
      <alignment horizontal="center" wrapText="1"/>
    </xf>
    <xf numFmtId="0" fontId="0" fillId="0" borderId="0" xfId="0" applyFont="1" applyFill="1" applyBorder="1" applyAlignment="1">
      <alignment horizontal="center" wrapText="1"/>
    </xf>
    <xf numFmtId="165" fontId="0" fillId="0" borderId="0" xfId="17" applyNumberFormat="1" applyFill="1" applyBorder="1" applyAlignment="1">
      <alignment/>
    </xf>
    <xf numFmtId="165" fontId="0" fillId="0" borderId="0" xfId="17" applyNumberFormat="1" applyFont="1" applyFill="1" applyBorder="1" applyAlignment="1">
      <alignment/>
    </xf>
    <xf numFmtId="169" fontId="10" fillId="6" borderId="0" xfId="0" applyNumberFormat="1" applyFont="1" applyFill="1" applyBorder="1" applyAlignment="1" applyProtection="1">
      <alignment/>
      <protection locked="0"/>
    </xf>
    <xf numFmtId="169" fontId="10" fillId="6" borderId="0" xfId="0" applyNumberFormat="1" applyFont="1" applyFill="1" applyBorder="1" applyAlignment="1">
      <alignment/>
    </xf>
    <xf numFmtId="170" fontId="0" fillId="0" borderId="0" xfId="17" applyNumberFormat="1" applyBorder="1" applyAlignment="1">
      <alignment/>
    </xf>
    <xf numFmtId="170" fontId="0" fillId="3" borderId="0" xfId="17" applyNumberFormat="1" applyFill="1" applyBorder="1" applyAlignment="1">
      <alignment/>
    </xf>
    <xf numFmtId="170" fontId="0" fillId="0" borderId="0" xfId="17" applyNumberFormat="1" applyFill="1" applyBorder="1" applyAlignment="1">
      <alignment/>
    </xf>
    <xf numFmtId="170" fontId="0" fillId="0" borderId="0" xfId="17" applyNumberFormat="1" applyAlignment="1">
      <alignment/>
    </xf>
    <xf numFmtId="170" fontId="0" fillId="0" borderId="0" xfId="0" applyNumberFormat="1" applyAlignment="1">
      <alignment wrapText="1"/>
    </xf>
    <xf numFmtId="0" fontId="0" fillId="0" borderId="0" xfId="0" applyAlignment="1">
      <alignment horizontal="center" wrapText="1"/>
    </xf>
    <xf numFmtId="165" fontId="0" fillId="0" borderId="0" xfId="17" applyNumberFormat="1" applyAlignment="1">
      <alignment wrapText="1"/>
    </xf>
    <xf numFmtId="0" fontId="6" fillId="2" borderId="0" xfId="0" applyFont="1" applyFill="1" applyAlignment="1">
      <alignment horizontal="center" wrapText="1"/>
    </xf>
    <xf numFmtId="165" fontId="6" fillId="2" borderId="0" xfId="17" applyNumberFormat="1" applyFont="1" applyFill="1" applyAlignment="1">
      <alignment horizontal="center" wrapText="1"/>
    </xf>
    <xf numFmtId="170" fontId="6" fillId="2" borderId="0" xfId="17" applyNumberFormat="1" applyFont="1" applyFill="1" applyAlignment="1">
      <alignment horizontal="center" wrapText="1"/>
    </xf>
    <xf numFmtId="0" fontId="6" fillId="0" borderId="0" xfId="0" applyFont="1" applyFill="1" applyAlignment="1">
      <alignment horizontal="center" wrapText="1"/>
    </xf>
    <xf numFmtId="0" fontId="0" fillId="0" borderId="0" xfId="0" applyFont="1" applyBorder="1" applyAlignment="1">
      <alignment/>
    </xf>
    <xf numFmtId="0" fontId="1" fillId="0" borderId="0" xfId="0" applyFont="1" applyFill="1" applyBorder="1" applyAlignment="1">
      <alignment wrapText="1"/>
    </xf>
    <xf numFmtId="165" fontId="0" fillId="0" borderId="0" xfId="17" applyNumberFormat="1" applyFont="1" applyBorder="1" applyAlignment="1">
      <alignment/>
    </xf>
    <xf numFmtId="170" fontId="0" fillId="0" borderId="0" xfId="17" applyNumberFormat="1" applyFont="1" applyBorder="1" applyAlignment="1">
      <alignment/>
    </xf>
    <xf numFmtId="0" fontId="0" fillId="0" borderId="3" xfId="0" applyBorder="1" applyAlignment="1">
      <alignment/>
    </xf>
    <xf numFmtId="0" fontId="0" fillId="0" borderId="3" xfId="0" applyBorder="1" applyAlignment="1">
      <alignment wrapText="1"/>
    </xf>
    <xf numFmtId="0" fontId="0" fillId="0" borderId="3" xfId="0" applyBorder="1" applyAlignment="1">
      <alignment horizontal="center"/>
    </xf>
    <xf numFmtId="165" fontId="0" fillId="0" borderId="3" xfId="17" applyNumberFormat="1" applyBorder="1" applyAlignment="1">
      <alignment/>
    </xf>
    <xf numFmtId="170" fontId="0" fillId="0" borderId="3" xfId="17" applyNumberFormat="1" applyBorder="1" applyAlignment="1">
      <alignment/>
    </xf>
    <xf numFmtId="170" fontId="0" fillId="0" borderId="0" xfId="17" applyNumberFormat="1" applyAlignment="1">
      <alignment wrapText="1"/>
    </xf>
    <xf numFmtId="0" fontId="13" fillId="0" borderId="0" xfId="0" applyFont="1" applyAlignment="1">
      <alignment wrapText="1"/>
    </xf>
    <xf numFmtId="0" fontId="0" fillId="0" borderId="4" xfId="0" applyBorder="1" applyAlignment="1">
      <alignment horizontal="center" vertical="center"/>
    </xf>
    <xf numFmtId="0" fontId="0" fillId="0" borderId="4" xfId="0" applyBorder="1" applyAlignment="1">
      <alignment wrapText="1"/>
    </xf>
    <xf numFmtId="0" fontId="13" fillId="0" borderId="4" xfId="0" applyFont="1" applyBorder="1" applyAlignment="1">
      <alignment horizontal="center" vertical="center"/>
    </xf>
    <xf numFmtId="0" fontId="13" fillId="0" borderId="4" xfId="0" applyFont="1" applyBorder="1" applyAlignment="1">
      <alignment wrapText="1"/>
    </xf>
    <xf numFmtId="0" fontId="13" fillId="0" borderId="0" xfId="0" applyFont="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xf>
    <xf numFmtId="0" fontId="2" fillId="8" borderId="0" xfId="0" applyFont="1" applyFill="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28"/>
  <sheetViews>
    <sheetView tabSelected="1" zoomScale="70" zoomScaleNormal="70" zoomScaleSheetLayoutView="100" workbookViewId="0" topLeftCell="A1">
      <selection activeCell="A1" sqref="A1:AB1"/>
    </sheetView>
  </sheetViews>
  <sheetFormatPr defaultColWidth="9.140625" defaultRowHeight="12.75"/>
  <cols>
    <col min="1" max="1" width="5.8515625" style="0" bestFit="1" customWidth="1"/>
    <col min="2" max="2" width="12.00390625" style="0" customWidth="1"/>
    <col min="3" max="3" width="15.28125" style="0" customWidth="1"/>
    <col min="4" max="4" width="5.28125" style="0" bestFit="1" customWidth="1"/>
    <col min="5" max="5" width="8.57421875" style="0" bestFit="1" customWidth="1"/>
    <col min="6" max="6" width="12.57421875" style="0" customWidth="1"/>
    <col min="7" max="7" width="11.8515625" style="0" bestFit="1" customWidth="1"/>
    <col min="8" max="8" width="11.57421875" style="0" bestFit="1" customWidth="1"/>
    <col min="9" max="9" width="16.421875" style="0" customWidth="1"/>
    <col min="10" max="10" width="15.28125" style="0" customWidth="1"/>
    <col min="12" max="12" width="16.00390625" style="0" bestFit="1" customWidth="1"/>
    <col min="13" max="13" width="9.421875" style="0" customWidth="1"/>
    <col min="14" max="14" width="10.28125" style="0" customWidth="1"/>
    <col min="15" max="16" width="11.57421875" style="0" bestFit="1" customWidth="1"/>
    <col min="17" max="18" width="10.421875" style="0" bestFit="1" customWidth="1"/>
    <col min="19" max="19" width="7.28125" style="0" customWidth="1"/>
    <col min="20" max="20" width="10.28125" style="0" customWidth="1"/>
    <col min="21" max="21" width="11.57421875" style="0" bestFit="1" customWidth="1"/>
    <col min="22" max="22" width="6.421875" style="0" customWidth="1"/>
    <col min="23" max="28" width="8.00390625" style="0" bestFit="1" customWidth="1"/>
  </cols>
  <sheetData>
    <row r="1" spans="1:28" s="10" customFormat="1" ht="18">
      <c r="A1" s="113" t="s">
        <v>257</v>
      </c>
      <c r="B1" s="113"/>
      <c r="C1" s="113"/>
      <c r="D1" s="113"/>
      <c r="E1" s="113"/>
      <c r="F1" s="113"/>
      <c r="G1" s="113"/>
      <c r="H1" s="113"/>
      <c r="I1" s="113"/>
      <c r="J1" s="113"/>
      <c r="K1" s="113"/>
      <c r="L1" s="113"/>
      <c r="M1" s="113"/>
      <c r="N1" s="114"/>
      <c r="O1" s="114"/>
      <c r="P1" s="114"/>
      <c r="Q1" s="114"/>
      <c r="R1" s="114"/>
      <c r="S1" s="114"/>
      <c r="T1" s="114"/>
      <c r="U1" s="114"/>
      <c r="V1" s="114"/>
      <c r="W1" s="114"/>
      <c r="X1" s="114"/>
      <c r="Y1" s="114"/>
      <c r="Z1" s="114"/>
      <c r="AA1" s="114"/>
      <c r="AB1" s="114"/>
    </row>
    <row r="2" spans="1:28" s="2" customFormat="1" ht="38.25">
      <c r="A2" s="91" t="s">
        <v>68</v>
      </c>
      <c r="B2" s="91" t="s">
        <v>0</v>
      </c>
      <c r="C2" s="91" t="s">
        <v>171</v>
      </c>
      <c r="D2" s="91" t="s">
        <v>100</v>
      </c>
      <c r="E2" s="91" t="s">
        <v>29</v>
      </c>
      <c r="F2" s="91" t="s">
        <v>1</v>
      </c>
      <c r="G2" s="92" t="s">
        <v>2</v>
      </c>
      <c r="H2" s="92" t="s">
        <v>102</v>
      </c>
      <c r="I2" s="92" t="s">
        <v>176</v>
      </c>
      <c r="J2" s="92" t="s">
        <v>185</v>
      </c>
      <c r="K2" s="93"/>
      <c r="L2" s="92" t="s">
        <v>111</v>
      </c>
      <c r="M2" s="91" t="s">
        <v>66</v>
      </c>
      <c r="N2" s="91" t="s">
        <v>3</v>
      </c>
      <c r="O2" s="91" t="s">
        <v>4</v>
      </c>
      <c r="P2" s="91" t="s">
        <v>5</v>
      </c>
      <c r="Q2" s="91" t="s">
        <v>6</v>
      </c>
      <c r="R2" s="91" t="s">
        <v>7</v>
      </c>
      <c r="S2" s="91" t="s">
        <v>8</v>
      </c>
      <c r="T2" s="91" t="s">
        <v>9</v>
      </c>
      <c r="U2" s="91" t="s">
        <v>10</v>
      </c>
      <c r="V2" s="91" t="s">
        <v>11</v>
      </c>
      <c r="W2" s="91" t="s">
        <v>12</v>
      </c>
      <c r="X2" s="91" t="s">
        <v>13</v>
      </c>
      <c r="Y2" s="91" t="s">
        <v>14</v>
      </c>
      <c r="Z2" s="91" t="s">
        <v>15</v>
      </c>
      <c r="AA2" s="91" t="s">
        <v>16</v>
      </c>
      <c r="AB2" s="91" t="s">
        <v>17</v>
      </c>
    </row>
    <row r="3" spans="1:28" ht="35.25">
      <c r="A3" s="9" t="s">
        <v>78</v>
      </c>
      <c r="B3" s="52" t="s">
        <v>226</v>
      </c>
      <c r="C3" s="52" t="s">
        <v>174</v>
      </c>
      <c r="D3" s="3" t="s">
        <v>144</v>
      </c>
      <c r="E3" s="3" t="s">
        <v>141</v>
      </c>
      <c r="F3" t="s">
        <v>60</v>
      </c>
      <c r="G3" s="4">
        <f>LOOKUP(B3,'Heery Data'!$B$59:$B$77,'Heery Data'!$C$59:$C$77)</f>
        <v>0</v>
      </c>
      <c r="H3" s="4">
        <f>IF(F3="New",LOOKUP(D3,Assumptions!$A$12:$A$15,Assumptions!$B$12:$B$15)*LOOKUP(E3,Assumptions!$A$2:$A$9,Assumptions!$C$2:$C$9),0)</f>
        <v>0</v>
      </c>
      <c r="I3" s="51">
        <f>IF(F3="New",LOOKUP(E3,Assumptions!$A$2:$A$9,Assumptions!$B$2:$B$9),I3)</f>
        <v>0</v>
      </c>
      <c r="J3" s="50">
        <v>0</v>
      </c>
      <c r="K3" s="84"/>
      <c r="L3" s="4">
        <f>IF(F3="New",0,(G3*((1+Assumptions!$B$19)^($M3-Assumptions!$B$18))*(1+Assumptions!$B$20)*(1+(Assumptions!$B$21+Assumptions!$B$22))*(1+Assumptions!$B$23))-(J3*((1+Assumptions!$B$19)^($M3-Assumptions!$B$18))*(1+Assumptions!$B$20)*(1+(Assumptions!$B$21+Assumptions!$B$22))*(1+Assumptions!$B$23)))</f>
        <v>0</v>
      </c>
      <c r="M3" s="3">
        <v>2005</v>
      </c>
      <c r="N3" s="4">
        <f>(((IF($M3=VALUE(RIGHT(N$2,4)),$J3,0)*((1+Assumptions!$B$19)^($M3-Assumptions!$B$18)))*(1+Assumptions!$B$20))*(1+(Assumptions!$B$21+Assumptions!$B$22)))*(1+Assumptions!$B$23)</f>
        <v>0</v>
      </c>
      <c r="O3" s="4">
        <f>242000+4830+323991+27133+20490+38469+56823</f>
        <v>713736</v>
      </c>
      <c r="P3" s="4">
        <f>29645+27819</f>
        <v>57464</v>
      </c>
      <c r="Q3" s="4">
        <f>(((IF($M3=VALUE(RIGHT(Q$2,4)),$J3,0)*((1+Assumptions!$B$19)^($M3-Assumptions!$B$18)))*(1+Assumptions!$B$20))*(1+(Assumptions!$B$21+Assumptions!$B$22)))*(1+Assumptions!$B$23)</f>
        <v>0</v>
      </c>
      <c r="R3" s="4">
        <f>(((IF($M3=VALUE(RIGHT(R$2,4)),$J3,0)*((1+Assumptions!$B$19)^($M3-Assumptions!$B$18)))*(1+Assumptions!$B$20))*(1+(Assumptions!$B$21+Assumptions!$B$22)))*(1+Assumptions!$B$23)</f>
        <v>0</v>
      </c>
      <c r="S3" s="4">
        <f>(((IF($M3=VALUE(RIGHT(S$2,4)),$J3,0)*((1+Assumptions!$B$19)^($M3-Assumptions!$B$18)))*(1+Assumptions!$B$20))*(1+(Assumptions!$B$21+Assumptions!$B$22)))*(1+Assumptions!$B$23)</f>
        <v>0</v>
      </c>
      <c r="T3" s="4">
        <f>(((IF($M3=VALUE(RIGHT(T$2,4)),$J3,0)*((1+Assumptions!$B$19)^($M3-Assumptions!$B$18)))*(1+Assumptions!$B$20))*(1+(Assumptions!$B$21+Assumptions!$B$22)))*(1+Assumptions!$B$23)</f>
        <v>0</v>
      </c>
      <c r="U3" s="4">
        <f>(((IF($M3=VALUE(RIGHT(U$2,4)),$J3,0)*((1+Assumptions!$B$19)^($M3-Assumptions!$B$18)))*(1+Assumptions!$B$20))*(1+(Assumptions!$B$21+Assumptions!$B$22)))*(1+Assumptions!$B$23)</f>
        <v>0</v>
      </c>
      <c r="V3" s="4">
        <f>(((IF($M3=VALUE(RIGHT(V$2,4)),$J3,0)*((1+Assumptions!$B$19)^($M3-Assumptions!$B$18)))*(1+Assumptions!$B$20))*(1+(Assumptions!$B$21+Assumptions!$B$22)))*(1+Assumptions!$B$23)</f>
        <v>0</v>
      </c>
      <c r="W3" s="4">
        <f>(((IF($M3=VALUE(RIGHT(W$2,4)),$J3,0)*((1+Assumptions!$B$19)^($M3-Assumptions!$B$18)))*(1+Assumptions!$B$20))*(1+(Assumptions!$B$21+Assumptions!$B$22)))*(1+Assumptions!$B$23)</f>
        <v>0</v>
      </c>
      <c r="X3" s="4">
        <f>(((IF($M3=VALUE(RIGHT(X$2,4)),$J3,0)*((1+Assumptions!$B$19)^($M3-Assumptions!$B$18)))*(1+Assumptions!$B$20))*(1+(Assumptions!$B$21+Assumptions!$B$22)))*(1+Assumptions!$B$23)</f>
        <v>0</v>
      </c>
      <c r="Y3" s="4">
        <f>(((IF($M3=VALUE(RIGHT(Y$2,4)),$J3,0)*((1+Assumptions!$B$19)^($M3-Assumptions!$B$18)))*(1+Assumptions!$B$20))*(1+(Assumptions!$B$21+Assumptions!$B$22)))*(1+Assumptions!$B$23)</f>
        <v>0</v>
      </c>
      <c r="Z3" s="4">
        <f>(((IF($M3=VALUE(RIGHT(Z$2,4)),$J3,0)*((1+Assumptions!$B$19)^($M3-Assumptions!$B$18)))*(1+Assumptions!$B$20))*(1+(Assumptions!$B$21+Assumptions!$B$22)))*(1+Assumptions!$B$23)</f>
        <v>0</v>
      </c>
      <c r="AA3" s="4">
        <f>(((IF($M3=VALUE(RIGHT(AA$2,4)),$J3,0)*((1+Assumptions!$B$19)^($M3-Assumptions!$B$18)))*(1+Assumptions!$B$20))*(1+(Assumptions!$B$21+Assumptions!$B$22)))*(1+Assumptions!$B$23)</f>
        <v>0</v>
      </c>
      <c r="AB3" s="4">
        <f>(((IF($M3=VALUE(RIGHT(AB$2,4)),$J3,0)*((1+Assumptions!$B$19)^($M3-Assumptions!$B$18)))*(1+Assumptions!$B$20))*(1+(Assumptions!$B$21+Assumptions!$B$22)))*(1+Assumptions!$B$23)</f>
        <v>0</v>
      </c>
    </row>
    <row r="4" spans="1:28" ht="24">
      <c r="A4" s="9"/>
      <c r="B4" s="52" t="s">
        <v>220</v>
      </c>
      <c r="C4" s="52" t="s">
        <v>174</v>
      </c>
      <c r="D4" s="3"/>
      <c r="E4" s="3" t="s">
        <v>101</v>
      </c>
      <c r="F4" t="s">
        <v>59</v>
      </c>
      <c r="G4" s="4"/>
      <c r="H4" s="4">
        <v>260000</v>
      </c>
      <c r="I4" s="51">
        <f>IF(F4="New",LOOKUP(E4,Assumptions!$A$2:$A$10,Assumptions!$B$2:$B$10),I4)</f>
        <v>627330</v>
      </c>
      <c r="J4" s="50">
        <f>SUM(H4:I4)</f>
        <v>887330</v>
      </c>
      <c r="K4" s="84"/>
      <c r="L4" s="4"/>
      <c r="M4" s="3">
        <v>2006</v>
      </c>
      <c r="N4" s="4"/>
      <c r="O4" s="4">
        <f>J4/2</f>
        <v>443665</v>
      </c>
      <c r="P4" s="4">
        <f>J4/2</f>
        <v>443665</v>
      </c>
      <c r="Q4" s="4"/>
      <c r="R4" s="4"/>
      <c r="S4" s="4"/>
      <c r="T4" s="4"/>
      <c r="U4" s="4"/>
      <c r="V4" s="4"/>
      <c r="W4" s="4"/>
      <c r="X4" s="4"/>
      <c r="Y4" s="4"/>
      <c r="Z4" s="4"/>
      <c r="AA4" s="4"/>
      <c r="AB4" s="4"/>
    </row>
    <row r="5" spans="1:28" ht="12.75">
      <c r="A5" s="9" t="s">
        <v>80</v>
      </c>
      <c r="B5" s="52" t="s">
        <v>88</v>
      </c>
      <c r="C5" s="52" t="s">
        <v>174</v>
      </c>
      <c r="D5" s="3" t="s">
        <v>144</v>
      </c>
      <c r="E5" s="3" t="s">
        <v>101</v>
      </c>
      <c r="F5" t="s">
        <v>60</v>
      </c>
      <c r="G5" s="4">
        <f>LOOKUP(B5,'Heery Data'!$B$59:$B$77,'Heery Data'!$C$59:$C$77)</f>
        <v>126145</v>
      </c>
      <c r="H5" s="4">
        <f>IF(F5="New",LOOKUP(D5,Assumptions!$A$12:$A$15,Assumptions!$B$12:$B$15)*LOOKUP(E5,Assumptions!$A$2:$A$9,Assumptions!$C$2:$C$9),0)</f>
        <v>0</v>
      </c>
      <c r="I5" s="51">
        <f>IF(F5="New",LOOKUP(E5,Assumptions!$A$2:$A$9,Assumptions!$B$2:$B$9),I5)</f>
        <v>0</v>
      </c>
      <c r="J5" s="50">
        <v>0</v>
      </c>
      <c r="K5" s="84"/>
      <c r="L5" s="4">
        <f>IF(F5="New",0,(G5*((1+Assumptions!$B$19)^($M5-Assumptions!$B$18))*(1+Assumptions!$B$20)*(1+(Assumptions!$B$21+Assumptions!$B$22))*(1+Assumptions!$B$23))-(J5*((1+Assumptions!$B$19)^($M5-Assumptions!$B$18))*(1+Assumptions!$B$20)*(1+(Assumptions!$B$21+Assumptions!$B$22))*(1+Assumptions!$B$23)))</f>
        <v>126145</v>
      </c>
      <c r="M5" s="3">
        <v>2004</v>
      </c>
      <c r="N5" s="4">
        <v>77941</v>
      </c>
      <c r="O5" s="4">
        <f>8382+23440</f>
        <v>31822</v>
      </c>
      <c r="P5" s="4">
        <v>8000</v>
      </c>
      <c r="Q5" s="4">
        <f>(((IF($M5=VALUE(RIGHT(Q$2,4)),$J5,0)*((1+Assumptions!$B$19)^($M5-Assumptions!$B$18)))*(1+Assumptions!$B$20))*(1+(Assumptions!$B$21+Assumptions!$B$22)))*(1+Assumptions!$B$23)</f>
        <v>0</v>
      </c>
      <c r="R5" s="4">
        <f>(((IF($M5=VALUE(RIGHT(R$2,4)),$J5,0)*((1+Assumptions!$B$19)^($M5-Assumptions!$B$18)))*(1+Assumptions!$B$20))*(1+(Assumptions!$B$21+Assumptions!$B$22)))*(1+Assumptions!$B$23)</f>
        <v>0</v>
      </c>
      <c r="S5" s="4">
        <f>(((IF($M5=VALUE(RIGHT(S$2,4)),$J5,0)*((1+Assumptions!$B$19)^($M5-Assumptions!$B$18)))*(1+Assumptions!$B$20))*(1+(Assumptions!$B$21+Assumptions!$B$22)))*(1+Assumptions!$B$23)</f>
        <v>0</v>
      </c>
      <c r="T5" s="4">
        <f>(((IF($M5=VALUE(RIGHT(T$2,4)),$J5,0)*((1+Assumptions!$B$19)^($M5-Assumptions!$B$18)))*(1+Assumptions!$B$20))*(1+(Assumptions!$B$21+Assumptions!$B$22)))*(1+Assumptions!$B$23)</f>
        <v>0</v>
      </c>
      <c r="U5" s="4">
        <f>(((IF($M5=VALUE(RIGHT(U$2,4)),$J5,0)*((1+Assumptions!$B$19)^($M5-Assumptions!$B$18)))*(1+Assumptions!$B$20))*(1+(Assumptions!$B$21+Assumptions!$B$22)))*(1+Assumptions!$B$23)</f>
        <v>0</v>
      </c>
      <c r="V5" s="4">
        <f>(((IF($M5=VALUE(RIGHT(V$2,4)),$J5,0)*((1+Assumptions!$B$19)^($M5-Assumptions!$B$18)))*(1+Assumptions!$B$20))*(1+(Assumptions!$B$21+Assumptions!$B$22)))*(1+Assumptions!$B$23)</f>
        <v>0</v>
      </c>
      <c r="W5" s="4">
        <f>(((IF($M5=VALUE(RIGHT(W$2,4)),$J5,0)*((1+Assumptions!$B$19)^($M5-Assumptions!$B$18)))*(1+Assumptions!$B$20))*(1+(Assumptions!$B$21+Assumptions!$B$22)))*(1+Assumptions!$B$23)</f>
        <v>0</v>
      </c>
      <c r="X5" s="4">
        <f>(((IF($M5=VALUE(RIGHT(X$2,4)),$J5,0)*((1+Assumptions!$B$19)^($M5-Assumptions!$B$18)))*(1+Assumptions!$B$20))*(1+(Assumptions!$B$21+Assumptions!$B$22)))*(1+Assumptions!$B$23)</f>
        <v>0</v>
      </c>
      <c r="Y5" s="4">
        <f>(((IF($M5=VALUE(RIGHT(Y$2,4)),$J5,0)*((1+Assumptions!$B$19)^($M5-Assumptions!$B$18)))*(1+Assumptions!$B$20))*(1+(Assumptions!$B$21+Assumptions!$B$22)))*(1+Assumptions!$B$23)</f>
        <v>0</v>
      </c>
      <c r="Z5" s="4">
        <f>(((IF($M5=VALUE(RIGHT(Z$2,4)),$J5,0)*((1+Assumptions!$B$19)^($M5-Assumptions!$B$18)))*(1+Assumptions!$B$20))*(1+(Assumptions!$B$21+Assumptions!$B$22)))*(1+Assumptions!$B$23)</f>
        <v>0</v>
      </c>
      <c r="AA5" s="4">
        <f>(((IF($M5=VALUE(RIGHT(AA$2,4)),$J5,0)*((1+Assumptions!$B$19)^($M5-Assumptions!$B$18)))*(1+Assumptions!$B$20))*(1+(Assumptions!$B$21+Assumptions!$B$22)))*(1+Assumptions!$B$23)</f>
        <v>0</v>
      </c>
      <c r="AB5" s="4">
        <f>(((IF($M5=VALUE(RIGHT(AB$2,4)),$J5,0)*((1+Assumptions!$B$19)^($M5-Assumptions!$B$18)))*(1+Assumptions!$B$20))*(1+(Assumptions!$B$21+Assumptions!$B$22)))*(1+Assumptions!$B$23)</f>
        <v>0</v>
      </c>
    </row>
    <row r="6" spans="1:28" ht="12.75">
      <c r="A6" s="9" t="s">
        <v>81</v>
      </c>
      <c r="B6" s="52" t="s">
        <v>89</v>
      </c>
      <c r="C6" s="52" t="s">
        <v>174</v>
      </c>
      <c r="D6" s="3" t="s">
        <v>144</v>
      </c>
      <c r="E6" s="3" t="s">
        <v>101</v>
      </c>
      <c r="F6" t="s">
        <v>60</v>
      </c>
      <c r="G6" s="4">
        <f>LOOKUP(B6,'Heery Data'!$B$59:$B$77,'Heery Data'!$C$59:$C$77)</f>
        <v>54903</v>
      </c>
      <c r="H6" s="4">
        <f>IF(F6="New",LOOKUP(D6,Assumptions!$A$12:$A$15,Assumptions!$B$12:$B$15)*LOOKUP(E6,Assumptions!$A$2:$A$9,Assumptions!$C$2:$C$9),0)</f>
        <v>0</v>
      </c>
      <c r="I6" s="51">
        <f>IF(F6="New",LOOKUP(E6,Assumptions!$A$2:$A$9,Assumptions!$B$2:$B$9),I6)</f>
        <v>0</v>
      </c>
      <c r="J6" s="50">
        <v>0</v>
      </c>
      <c r="K6" s="84"/>
      <c r="L6" s="4">
        <f>IF(F6="New",0,(G6*((1+Assumptions!$B$19)^($M6-Assumptions!$B$18))*(1+Assumptions!$B$20)*(1+(Assumptions!$B$21+Assumptions!$B$22))*(1+Assumptions!$B$23))-(J6*((1+Assumptions!$B$19)^($M6-Assumptions!$B$18))*(1+Assumptions!$B$20)*(1+(Assumptions!$B$21+Assumptions!$B$22))*(1+Assumptions!$B$23)))</f>
        <v>54903</v>
      </c>
      <c r="M6" s="3">
        <v>2004</v>
      </c>
      <c r="N6" s="4">
        <v>2344</v>
      </c>
      <c r="O6" s="4">
        <v>23440</v>
      </c>
      <c r="P6" s="4">
        <v>29119</v>
      </c>
      <c r="Q6" s="4">
        <f>(((IF($M6=VALUE(RIGHT(Q$2,4)),$J6,0)*((1+Assumptions!$B$19)^($M6-Assumptions!$B$18)))*(1+Assumptions!$B$20))*(1+(Assumptions!$B$21+Assumptions!$B$22)))*(1+Assumptions!$B$23)</f>
        <v>0</v>
      </c>
      <c r="R6" s="4">
        <f>(((IF($M6=VALUE(RIGHT(R$2,4)),$J6,0)*((1+Assumptions!$B$19)^($M6-Assumptions!$B$18)))*(1+Assumptions!$B$20))*(1+(Assumptions!$B$21+Assumptions!$B$22)))*(1+Assumptions!$B$23)</f>
        <v>0</v>
      </c>
      <c r="S6" s="4">
        <f>(((IF($M6=VALUE(RIGHT(S$2,4)),$J6,0)*((1+Assumptions!$B$19)^($M6-Assumptions!$B$18)))*(1+Assumptions!$B$20))*(1+(Assumptions!$B$21+Assumptions!$B$22)))*(1+Assumptions!$B$23)</f>
        <v>0</v>
      </c>
      <c r="T6" s="4">
        <f>(((IF($M6=VALUE(RIGHT(T$2,4)),$J6,0)*((1+Assumptions!$B$19)^($M6-Assumptions!$B$18)))*(1+Assumptions!$B$20))*(1+(Assumptions!$B$21+Assumptions!$B$22)))*(1+Assumptions!$B$23)</f>
        <v>0</v>
      </c>
      <c r="U6" s="4">
        <f>(((IF($M6=VALUE(RIGHT(U$2,4)),$J6,0)*((1+Assumptions!$B$19)^($M6-Assumptions!$B$18)))*(1+Assumptions!$B$20))*(1+(Assumptions!$B$21+Assumptions!$B$22)))*(1+Assumptions!$B$23)</f>
        <v>0</v>
      </c>
      <c r="V6" s="4">
        <f>(((IF($M6=VALUE(RIGHT(V$2,4)),$J6,0)*((1+Assumptions!$B$19)^($M6-Assumptions!$B$18)))*(1+Assumptions!$B$20))*(1+(Assumptions!$B$21+Assumptions!$B$22)))*(1+Assumptions!$B$23)</f>
        <v>0</v>
      </c>
      <c r="W6" s="4">
        <f>(((IF($M6=VALUE(RIGHT(W$2,4)),$J6,0)*((1+Assumptions!$B$19)^($M6-Assumptions!$B$18)))*(1+Assumptions!$B$20))*(1+(Assumptions!$B$21+Assumptions!$B$22)))*(1+Assumptions!$B$23)</f>
        <v>0</v>
      </c>
      <c r="X6" s="4">
        <f>(((IF($M6=VALUE(RIGHT(X$2,4)),$J6,0)*((1+Assumptions!$B$19)^($M6-Assumptions!$B$18)))*(1+Assumptions!$B$20))*(1+(Assumptions!$B$21+Assumptions!$B$22)))*(1+Assumptions!$B$23)</f>
        <v>0</v>
      </c>
      <c r="Y6" s="4">
        <f>(((IF($M6=VALUE(RIGHT(Y$2,4)),$J6,0)*((1+Assumptions!$B$19)^($M6-Assumptions!$B$18)))*(1+Assumptions!$B$20))*(1+(Assumptions!$B$21+Assumptions!$B$22)))*(1+Assumptions!$B$23)</f>
        <v>0</v>
      </c>
      <c r="Z6" s="4">
        <f>(((IF($M6=VALUE(RIGHT(Z$2,4)),$J6,0)*((1+Assumptions!$B$19)^($M6-Assumptions!$B$18)))*(1+Assumptions!$B$20))*(1+(Assumptions!$B$21+Assumptions!$B$22)))*(1+Assumptions!$B$23)</f>
        <v>0</v>
      </c>
      <c r="AA6" s="4">
        <f>(((IF($M6=VALUE(RIGHT(AA$2,4)),$J6,0)*((1+Assumptions!$B$19)^($M6-Assumptions!$B$18)))*(1+Assumptions!$B$20))*(1+(Assumptions!$B$21+Assumptions!$B$22)))*(1+Assumptions!$B$23)</f>
        <v>0</v>
      </c>
      <c r="AB6" s="4">
        <f>(((IF($M6=VALUE(RIGHT(AB$2,4)),$J6,0)*((1+Assumptions!$B$19)^($M6-Assumptions!$B$18)))*(1+Assumptions!$B$20))*(1+(Assumptions!$B$21+Assumptions!$B$22)))*(1+Assumptions!$B$23)</f>
        <v>0</v>
      </c>
    </row>
    <row r="7" spans="1:28" ht="12.75">
      <c r="A7" s="9" t="s">
        <v>82</v>
      </c>
      <c r="B7" s="52" t="s">
        <v>90</v>
      </c>
      <c r="C7" s="52" t="s">
        <v>174</v>
      </c>
      <c r="D7" s="3" t="s">
        <v>142</v>
      </c>
      <c r="E7" s="3" t="s">
        <v>101</v>
      </c>
      <c r="F7" t="s">
        <v>60</v>
      </c>
      <c r="G7" s="4">
        <f>LOOKUP(B7,'Heery Data'!$B$59:$B$77,'Heery Data'!$C$59:$C$77)</f>
        <v>95276</v>
      </c>
      <c r="H7" s="4">
        <f>IF(F7="New",LOOKUP(D7,Assumptions!$A$12:$A$15,Assumptions!$B$12:$B$15)*LOOKUP(E7,Assumptions!$A$2:$A$9,Assumptions!$C$2:$C$9),0)</f>
        <v>0</v>
      </c>
      <c r="I7" s="51">
        <f>IF(F7="New",LOOKUP(E7,Assumptions!$A$2:$A$9,Assumptions!$B$2:$B$9),I7)</f>
        <v>0</v>
      </c>
      <c r="J7" s="50">
        <v>0</v>
      </c>
      <c r="K7" s="84"/>
      <c r="L7" s="4">
        <f>IF(F7="New",0,(G7*((1+Assumptions!$B$19)^($M7-Assumptions!$B$18))*(1+Assumptions!$B$20)*(1+(Assumptions!$B$21+Assumptions!$B$22))*(1+Assumptions!$B$23))-(J7*((1+Assumptions!$B$19)^($M7-Assumptions!$B$18))*(1+Assumptions!$B$20)*(1+(Assumptions!$B$21+Assumptions!$B$22))*(1+Assumptions!$B$23)))</f>
        <v>95276</v>
      </c>
      <c r="M7" s="3">
        <v>2004</v>
      </c>
      <c r="N7" s="4">
        <v>56599</v>
      </c>
      <c r="O7" s="4">
        <f>2557+23724</f>
        <v>26281</v>
      </c>
      <c r="P7" s="4">
        <v>9839</v>
      </c>
      <c r="Q7" s="4">
        <f>(((IF($M7=VALUE(RIGHT(Q$2,4)),$J7,0)*((1+Assumptions!$B$19)^($M7-Assumptions!$B$18)))*(1+Assumptions!$B$20))*(1+(Assumptions!$B$21+Assumptions!$B$22)))*(1+Assumptions!$B$23)</f>
        <v>0</v>
      </c>
      <c r="R7" s="4">
        <f>(((IF($M7=VALUE(RIGHT(R$2,4)),$J7,0)*((1+Assumptions!$B$19)^($M7-Assumptions!$B$18)))*(1+Assumptions!$B$20))*(1+(Assumptions!$B$21+Assumptions!$B$22)))*(1+Assumptions!$B$23)</f>
        <v>0</v>
      </c>
      <c r="S7" s="4">
        <f>(((IF($M7=VALUE(RIGHT(S$2,4)),$J7,0)*((1+Assumptions!$B$19)^($M7-Assumptions!$B$18)))*(1+Assumptions!$B$20))*(1+(Assumptions!$B$21+Assumptions!$B$22)))*(1+Assumptions!$B$23)</f>
        <v>0</v>
      </c>
      <c r="T7" s="4">
        <f>(((IF($M7=VALUE(RIGHT(T$2,4)),$J7,0)*((1+Assumptions!$B$19)^($M7-Assumptions!$B$18)))*(1+Assumptions!$B$20))*(1+(Assumptions!$B$21+Assumptions!$B$22)))*(1+Assumptions!$B$23)</f>
        <v>0</v>
      </c>
      <c r="U7" s="4">
        <f>(((IF($M7=VALUE(RIGHT(U$2,4)),$J7,0)*((1+Assumptions!$B$19)^($M7-Assumptions!$B$18)))*(1+Assumptions!$B$20))*(1+(Assumptions!$B$21+Assumptions!$B$22)))*(1+Assumptions!$B$23)</f>
        <v>0</v>
      </c>
      <c r="V7" s="4">
        <f>(((IF($M7=VALUE(RIGHT(V$2,4)),$J7,0)*((1+Assumptions!$B$19)^($M7-Assumptions!$B$18)))*(1+Assumptions!$B$20))*(1+(Assumptions!$B$21+Assumptions!$B$22)))*(1+Assumptions!$B$23)</f>
        <v>0</v>
      </c>
      <c r="W7" s="4">
        <f>(((IF($M7=VALUE(RIGHT(W$2,4)),$J7,0)*((1+Assumptions!$B$19)^($M7-Assumptions!$B$18)))*(1+Assumptions!$B$20))*(1+(Assumptions!$B$21+Assumptions!$B$22)))*(1+Assumptions!$B$23)</f>
        <v>0</v>
      </c>
      <c r="X7" s="4">
        <f>(((IF($M7=VALUE(RIGHT(X$2,4)),$J7,0)*((1+Assumptions!$B$19)^($M7-Assumptions!$B$18)))*(1+Assumptions!$B$20))*(1+(Assumptions!$B$21+Assumptions!$B$22)))*(1+Assumptions!$B$23)</f>
        <v>0</v>
      </c>
      <c r="Y7" s="4">
        <f>(((IF($M7=VALUE(RIGHT(Y$2,4)),$J7,0)*((1+Assumptions!$B$19)^($M7-Assumptions!$B$18)))*(1+Assumptions!$B$20))*(1+(Assumptions!$B$21+Assumptions!$B$22)))*(1+Assumptions!$B$23)</f>
        <v>0</v>
      </c>
      <c r="Z7" s="4">
        <f>(((IF($M7=VALUE(RIGHT(Z$2,4)),$J7,0)*((1+Assumptions!$B$19)^($M7-Assumptions!$B$18)))*(1+Assumptions!$B$20))*(1+(Assumptions!$B$21+Assumptions!$B$22)))*(1+Assumptions!$B$23)</f>
        <v>0</v>
      </c>
      <c r="AA7" s="4">
        <f>(((IF($M7=VALUE(RIGHT(AA$2,4)),$J7,0)*((1+Assumptions!$B$19)^($M7-Assumptions!$B$18)))*(1+Assumptions!$B$20))*(1+(Assumptions!$B$21+Assumptions!$B$22)))*(1+Assumptions!$B$23)</f>
        <v>0</v>
      </c>
      <c r="AB7" s="4">
        <f>(((IF($M7=VALUE(RIGHT(AB$2,4)),$J7,0)*((1+Assumptions!$B$19)^($M7-Assumptions!$B$18)))*(1+Assumptions!$B$20))*(1+(Assumptions!$B$21+Assumptions!$B$22)))*(1+Assumptions!$B$23)</f>
        <v>0</v>
      </c>
    </row>
    <row r="8" spans="1:28" ht="12.75">
      <c r="A8" s="9" t="s">
        <v>83</v>
      </c>
      <c r="B8" s="52" t="s">
        <v>91</v>
      </c>
      <c r="C8" s="52" t="s">
        <v>174</v>
      </c>
      <c r="D8" s="3" t="s">
        <v>143</v>
      </c>
      <c r="E8" s="3" t="s">
        <v>101</v>
      </c>
      <c r="F8" t="s">
        <v>60</v>
      </c>
      <c r="G8" s="4">
        <f>LOOKUP(B8,'Heery Data'!$B$59:$B$77,'Heery Data'!$C$59:$C$77)</f>
        <v>117802</v>
      </c>
      <c r="H8" s="4">
        <f>IF(F8="New",LOOKUP(D8,Assumptions!$A$12:$A$15,Assumptions!$B$12:$B$15)*LOOKUP(E8,Assumptions!$A$2:$A$9,Assumptions!$C$2:$C$9),0)</f>
        <v>0</v>
      </c>
      <c r="I8" s="51">
        <f>IF(F8="New",LOOKUP(E8,Assumptions!$A$2:$A$9,Assumptions!$B$2:$B$9),I8)</f>
        <v>0</v>
      </c>
      <c r="J8" s="50">
        <v>0</v>
      </c>
      <c r="K8" s="84"/>
      <c r="L8" s="4">
        <f>IF(F8="New",0,(G8*((1+Assumptions!$B$19)^($M8-Assumptions!$B$18))*(1+Assumptions!$B$20)*(1+(Assumptions!$B$21+Assumptions!$B$22))*(1+Assumptions!$B$23))-(J8*((1+Assumptions!$B$19)^($M8-Assumptions!$B$18))*(1+Assumptions!$B$20)*(1+(Assumptions!$B$21+Assumptions!$B$22))*(1+Assumptions!$B$23)))</f>
        <v>117802</v>
      </c>
      <c r="M8" s="3">
        <v>2004</v>
      </c>
      <c r="N8" s="4">
        <v>74969</v>
      </c>
      <c r="O8" s="4">
        <f>8028+23866</f>
        <v>31894</v>
      </c>
      <c r="P8" s="4">
        <v>2911</v>
      </c>
      <c r="Q8" s="4">
        <f>(((IF($M8=VALUE(RIGHT(Q$2,4)),$J8,0)*((1+Assumptions!$B$19)^($M8-Assumptions!$B$18)))*(1+Assumptions!$B$20))*(1+(Assumptions!$B$21+Assumptions!$B$22)))*(1+Assumptions!$B$23)</f>
        <v>0</v>
      </c>
      <c r="R8" s="4">
        <f>(((IF($M8=VALUE(RIGHT(R$2,4)),$J8,0)*((1+Assumptions!$B$19)^($M8-Assumptions!$B$18)))*(1+Assumptions!$B$20))*(1+(Assumptions!$B$21+Assumptions!$B$22)))*(1+Assumptions!$B$23)</f>
        <v>0</v>
      </c>
      <c r="S8" s="4">
        <f>(((IF($M8=VALUE(RIGHT(S$2,4)),$J8,0)*((1+Assumptions!$B$19)^($M8-Assumptions!$B$18)))*(1+Assumptions!$B$20))*(1+(Assumptions!$B$21+Assumptions!$B$22)))*(1+Assumptions!$B$23)</f>
        <v>0</v>
      </c>
      <c r="T8" s="4">
        <f>(((IF($M8=VALUE(RIGHT(T$2,4)),$J8,0)*((1+Assumptions!$B$19)^($M8-Assumptions!$B$18)))*(1+Assumptions!$B$20))*(1+(Assumptions!$B$21+Assumptions!$B$22)))*(1+Assumptions!$B$23)</f>
        <v>0</v>
      </c>
      <c r="U8" s="4">
        <f>(((IF($M8=VALUE(RIGHT(U$2,4)),$J8,0)*((1+Assumptions!$B$19)^($M8-Assumptions!$B$18)))*(1+Assumptions!$B$20))*(1+(Assumptions!$B$21+Assumptions!$B$22)))*(1+Assumptions!$B$23)</f>
        <v>0</v>
      </c>
      <c r="V8" s="4">
        <f>(((IF($M8=VALUE(RIGHT(V$2,4)),$J8,0)*((1+Assumptions!$B$19)^($M8-Assumptions!$B$18)))*(1+Assumptions!$B$20))*(1+(Assumptions!$B$21+Assumptions!$B$22)))*(1+Assumptions!$B$23)</f>
        <v>0</v>
      </c>
      <c r="W8" s="4">
        <f>(((IF($M8=VALUE(RIGHT(W$2,4)),$J8,0)*((1+Assumptions!$B$19)^($M8-Assumptions!$B$18)))*(1+Assumptions!$B$20))*(1+(Assumptions!$B$21+Assumptions!$B$22)))*(1+Assumptions!$B$23)</f>
        <v>0</v>
      </c>
      <c r="X8" s="4">
        <f>(((IF($M8=VALUE(RIGHT(X$2,4)),$J8,0)*((1+Assumptions!$B$19)^($M8-Assumptions!$B$18)))*(1+Assumptions!$B$20))*(1+(Assumptions!$B$21+Assumptions!$B$22)))*(1+Assumptions!$B$23)</f>
        <v>0</v>
      </c>
      <c r="Y8" s="4">
        <f>(((IF($M8=VALUE(RIGHT(Y$2,4)),$J8,0)*((1+Assumptions!$B$19)^($M8-Assumptions!$B$18)))*(1+Assumptions!$B$20))*(1+(Assumptions!$B$21+Assumptions!$B$22)))*(1+Assumptions!$B$23)</f>
        <v>0</v>
      </c>
      <c r="Z8" s="4">
        <f>(((IF($M8=VALUE(RIGHT(Z$2,4)),$J8,0)*((1+Assumptions!$B$19)^($M8-Assumptions!$B$18)))*(1+Assumptions!$B$20))*(1+(Assumptions!$B$21+Assumptions!$B$22)))*(1+Assumptions!$B$23)</f>
        <v>0</v>
      </c>
      <c r="AA8" s="4">
        <f>(((IF($M8=VALUE(RIGHT(AA$2,4)),$J8,0)*((1+Assumptions!$B$19)^($M8-Assumptions!$B$18)))*(1+Assumptions!$B$20))*(1+(Assumptions!$B$21+Assumptions!$B$22)))*(1+Assumptions!$B$23)</f>
        <v>0</v>
      </c>
      <c r="AB8" s="4">
        <f>(((IF($M8=VALUE(RIGHT(AB$2,4)),$J8,0)*((1+Assumptions!$B$19)^($M8-Assumptions!$B$18)))*(1+Assumptions!$B$20))*(1+(Assumptions!$B$21+Assumptions!$B$22)))*(1+Assumptions!$B$23)</f>
        <v>0</v>
      </c>
    </row>
    <row r="9" spans="1:28" ht="24">
      <c r="A9" s="9" t="s">
        <v>84</v>
      </c>
      <c r="B9" s="52" t="s">
        <v>206</v>
      </c>
      <c r="C9" s="52" t="s">
        <v>174</v>
      </c>
      <c r="D9" s="3" t="s">
        <v>142</v>
      </c>
      <c r="E9" s="3" t="s">
        <v>101</v>
      </c>
      <c r="F9" t="s">
        <v>60</v>
      </c>
      <c r="G9" s="4">
        <f>LOOKUP(B9,'Heery Data'!$B$59:$B$77,'Heery Data'!$C$59:$C$77)</f>
        <v>0</v>
      </c>
      <c r="H9" s="4">
        <f>IF(F9="New",LOOKUP(D9,Assumptions!$A$12:$A$15,Assumptions!$B$12:$B$15)*LOOKUP(E9,Assumptions!$A$2:$A$9,Assumptions!$C$2:$C$9),0)</f>
        <v>0</v>
      </c>
      <c r="I9" s="51">
        <f>IF(F9="New",LOOKUP(E9,Assumptions!$A$2:$A$9,Assumptions!$B$2:$B$9),I9)</f>
        <v>0</v>
      </c>
      <c r="J9" s="50">
        <v>0</v>
      </c>
      <c r="K9" s="84"/>
      <c r="L9" s="4">
        <f>IF(F9="New",0,(G9*((1+Assumptions!$B$19)^($M9-Assumptions!$B$18))*(1+Assumptions!$B$20)*(1+(Assumptions!$B$21+Assumptions!$B$22))*(1+Assumptions!$B$23))-(J9*((1+Assumptions!$B$19)^($M9-Assumptions!$B$18))*(1+Assumptions!$B$20)*(1+(Assumptions!$B$21+Assumptions!$B$22))*(1+Assumptions!$B$23)))</f>
        <v>0</v>
      </c>
      <c r="M9" s="3"/>
      <c r="N9" s="4">
        <f>(((IF($M9=VALUE(RIGHT(N$2,4)),$J9,0)*((1+Assumptions!$B$19)^($M9-Assumptions!$B$18)))*(1+Assumptions!$B$20))*(1+(Assumptions!$B$21+Assumptions!$B$22)))*(1+Assumptions!$B$23)</f>
        <v>0</v>
      </c>
      <c r="O9" s="4">
        <v>48400</v>
      </c>
      <c r="P9" s="4">
        <f>(((IF($M9=VALUE(RIGHT(P$2,4)),$J9,0)*((1+Assumptions!$B$19)^($M9-Assumptions!$B$18)))*(1+Assumptions!$B$20))*(1+(Assumptions!$B$21+Assumptions!$B$22)))*(1+Assumptions!$B$23)</f>
        <v>0</v>
      </c>
      <c r="Q9" s="4">
        <f>(((IF($M9=VALUE(RIGHT(Q$2,4)),$J9,0)*((1+Assumptions!$B$19)^($M9-Assumptions!$B$18)))*(1+Assumptions!$B$20))*(1+(Assumptions!$B$21+Assumptions!$B$22)))*(1+Assumptions!$B$23)</f>
        <v>0</v>
      </c>
      <c r="R9" s="4">
        <f>(((IF($M9=VALUE(RIGHT(R$2,4)),$J9,0)*((1+Assumptions!$B$19)^($M9-Assumptions!$B$18)))*(1+Assumptions!$B$20))*(1+(Assumptions!$B$21+Assumptions!$B$22)))*(1+Assumptions!$B$23)</f>
        <v>0</v>
      </c>
      <c r="S9" s="4">
        <f>(((IF($M9=VALUE(RIGHT(S$2,4)),$J9,0)*((1+Assumptions!$B$19)^($M9-Assumptions!$B$18)))*(1+Assumptions!$B$20))*(1+(Assumptions!$B$21+Assumptions!$B$22)))*(1+Assumptions!$B$23)</f>
        <v>0</v>
      </c>
      <c r="T9" s="4">
        <f>(((IF($M9=VALUE(RIGHT(T$2,4)),$J9,0)*((1+Assumptions!$B$19)^($M9-Assumptions!$B$18)))*(1+Assumptions!$B$20))*(1+(Assumptions!$B$21+Assumptions!$B$22)))*(1+Assumptions!$B$23)</f>
        <v>0</v>
      </c>
      <c r="U9" s="4">
        <f>(((IF($M9=VALUE(RIGHT(U$2,4)),$J9,0)*((1+Assumptions!$B$19)^($M9-Assumptions!$B$18)))*(1+Assumptions!$B$20))*(1+(Assumptions!$B$21+Assumptions!$B$22)))*(1+Assumptions!$B$23)</f>
        <v>0</v>
      </c>
      <c r="V9" s="4">
        <f>(((IF($M9=VALUE(RIGHT(V$2,4)),$J9,0)*((1+Assumptions!$B$19)^($M9-Assumptions!$B$18)))*(1+Assumptions!$B$20))*(1+(Assumptions!$B$21+Assumptions!$B$22)))*(1+Assumptions!$B$23)</f>
        <v>0</v>
      </c>
      <c r="W9" s="4">
        <f>(((IF($M9=VALUE(RIGHT(W$2,4)),$J9,0)*((1+Assumptions!$B$19)^($M9-Assumptions!$B$18)))*(1+Assumptions!$B$20))*(1+(Assumptions!$B$21+Assumptions!$B$22)))*(1+Assumptions!$B$23)</f>
        <v>0</v>
      </c>
      <c r="X9" s="4">
        <f>(((IF($M9=VALUE(RIGHT(X$2,4)),$J9,0)*((1+Assumptions!$B$19)^($M9-Assumptions!$B$18)))*(1+Assumptions!$B$20))*(1+(Assumptions!$B$21+Assumptions!$B$22)))*(1+Assumptions!$B$23)</f>
        <v>0</v>
      </c>
      <c r="Y9" s="4">
        <f>(((IF($M9=VALUE(RIGHT(Y$2,4)),$J9,0)*((1+Assumptions!$B$19)^($M9-Assumptions!$B$18)))*(1+Assumptions!$B$20))*(1+(Assumptions!$B$21+Assumptions!$B$22)))*(1+Assumptions!$B$23)</f>
        <v>0</v>
      </c>
      <c r="Z9" s="4">
        <f>(((IF($M9=VALUE(RIGHT(Z$2,4)),$J9,0)*((1+Assumptions!$B$19)^($M9-Assumptions!$B$18)))*(1+Assumptions!$B$20))*(1+(Assumptions!$B$21+Assumptions!$B$22)))*(1+Assumptions!$B$23)</f>
        <v>0</v>
      </c>
      <c r="AA9" s="4">
        <f>(((IF($M9=VALUE(RIGHT(AA$2,4)),$J9,0)*((1+Assumptions!$B$19)^($M9-Assumptions!$B$18)))*(1+Assumptions!$B$20))*(1+(Assumptions!$B$21+Assumptions!$B$22)))*(1+Assumptions!$B$23)</f>
        <v>0</v>
      </c>
      <c r="AB9" s="4">
        <f>(((IF($M9=VALUE(RIGHT(AB$2,4)),$J9,0)*((1+Assumptions!$B$19)^($M9-Assumptions!$B$18)))*(1+Assumptions!$B$20))*(1+(Assumptions!$B$21+Assumptions!$B$22)))*(1+Assumptions!$B$23)</f>
        <v>0</v>
      </c>
    </row>
    <row r="10" spans="1:28" ht="12.75">
      <c r="A10" s="9" t="s">
        <v>85</v>
      </c>
      <c r="B10" s="52" t="s">
        <v>93</v>
      </c>
      <c r="C10" s="52" t="s">
        <v>174</v>
      </c>
      <c r="D10" s="3" t="s">
        <v>144</v>
      </c>
      <c r="E10" s="3" t="s">
        <v>101</v>
      </c>
      <c r="F10" t="s">
        <v>60</v>
      </c>
      <c r="G10" s="4">
        <f>LOOKUP(B10,'Heery Data'!$B$59:$B$77,'Heery Data'!$C$59:$C$77)</f>
        <v>86540</v>
      </c>
      <c r="H10" s="4">
        <f>IF(F10="New",LOOKUP(D10,Assumptions!$A$12:$A$15,Assumptions!$B$12:$B$15)*LOOKUP(E10,Assumptions!$A$2:$A$9,Assumptions!$C$2:$C$9),0)</f>
        <v>0</v>
      </c>
      <c r="I10" s="51">
        <f>IF(F10="New",LOOKUP(E10,Assumptions!$A$2:$A$9,Assumptions!$B$2:$B$9),I10)</f>
        <v>0</v>
      </c>
      <c r="J10" s="50">
        <v>0</v>
      </c>
      <c r="K10" s="84"/>
      <c r="L10" s="4">
        <f>IF(F10="New",0,(G10*((1+Assumptions!$B$19)^($M10-Assumptions!$B$18))*(1+Assumptions!$B$20)*(1+(Assumptions!$B$21+Assumptions!$B$22))*(1+Assumptions!$B$23))-(J10*((1+Assumptions!$B$19)^($M10-Assumptions!$B$18))*(1+Assumptions!$B$20)*(1+(Assumptions!$B$21+Assumptions!$B$22))*(1+Assumptions!$B$23)))</f>
        <v>86540</v>
      </c>
      <c r="M10" s="3">
        <v>2004</v>
      </c>
      <c r="N10" s="4">
        <v>48229</v>
      </c>
      <c r="O10" s="4">
        <f>7116+24008</f>
        <v>31124</v>
      </c>
      <c r="P10" s="4">
        <v>71</v>
      </c>
      <c r="Q10" s="4">
        <f>(((IF($M10=VALUE(RIGHT(Q$2,4)),$J10,0)*((1+Assumptions!$B$19)^($M10-Assumptions!$B$18)))*(1+Assumptions!$B$20))*(1+(Assumptions!$B$21+Assumptions!$B$22)))*(1+Assumptions!$B$23)</f>
        <v>0</v>
      </c>
      <c r="R10" s="4">
        <f>(((IF($M10=VALUE(RIGHT(R$2,4)),$J10,0)*((1+Assumptions!$B$19)^($M10-Assumptions!$B$18)))*(1+Assumptions!$B$20))*(1+(Assumptions!$B$21+Assumptions!$B$22)))*(1+Assumptions!$B$23)</f>
        <v>0</v>
      </c>
      <c r="S10" s="4">
        <f>(((IF($M10=VALUE(RIGHT(S$2,4)),$J10,0)*((1+Assumptions!$B$19)^($M10-Assumptions!$B$18)))*(1+Assumptions!$B$20))*(1+(Assumptions!$B$21+Assumptions!$B$22)))*(1+Assumptions!$B$23)</f>
        <v>0</v>
      </c>
      <c r="T10" s="4">
        <f>(((IF($M10=VALUE(RIGHT(T$2,4)),$J10,0)*((1+Assumptions!$B$19)^($M10-Assumptions!$B$18)))*(1+Assumptions!$B$20))*(1+(Assumptions!$B$21+Assumptions!$B$22)))*(1+Assumptions!$B$23)</f>
        <v>0</v>
      </c>
      <c r="U10" s="4">
        <f>(((IF($M10=VALUE(RIGHT(U$2,4)),$J10,0)*((1+Assumptions!$B$19)^($M10-Assumptions!$B$18)))*(1+Assumptions!$B$20))*(1+(Assumptions!$B$21+Assumptions!$B$22)))*(1+Assumptions!$B$23)</f>
        <v>0</v>
      </c>
      <c r="V10" s="4">
        <f>(((IF($M10=VALUE(RIGHT(V$2,4)),$J10,0)*((1+Assumptions!$B$19)^($M10-Assumptions!$B$18)))*(1+Assumptions!$B$20))*(1+(Assumptions!$B$21+Assumptions!$B$22)))*(1+Assumptions!$B$23)</f>
        <v>0</v>
      </c>
      <c r="W10" s="4">
        <f>(((IF($M10=VALUE(RIGHT(W$2,4)),$J10,0)*((1+Assumptions!$B$19)^($M10-Assumptions!$B$18)))*(1+Assumptions!$B$20))*(1+(Assumptions!$B$21+Assumptions!$B$22)))*(1+Assumptions!$B$23)</f>
        <v>0</v>
      </c>
      <c r="X10" s="4">
        <f>(((IF($M10=VALUE(RIGHT(X$2,4)),$J10,0)*((1+Assumptions!$B$19)^($M10-Assumptions!$B$18)))*(1+Assumptions!$B$20))*(1+(Assumptions!$B$21+Assumptions!$B$22)))*(1+Assumptions!$B$23)</f>
        <v>0</v>
      </c>
      <c r="Y10" s="4">
        <f>(((IF($M10=VALUE(RIGHT(Y$2,4)),$J10,0)*((1+Assumptions!$B$19)^($M10-Assumptions!$B$18)))*(1+Assumptions!$B$20))*(1+(Assumptions!$B$21+Assumptions!$B$22)))*(1+Assumptions!$B$23)</f>
        <v>0</v>
      </c>
      <c r="Z10" s="4">
        <f>(((IF($M10=VALUE(RIGHT(Z$2,4)),$J10,0)*((1+Assumptions!$B$19)^($M10-Assumptions!$B$18)))*(1+Assumptions!$B$20))*(1+(Assumptions!$B$21+Assumptions!$B$22)))*(1+Assumptions!$B$23)</f>
        <v>0</v>
      </c>
      <c r="AA10" s="4">
        <f>(((IF($M10=VALUE(RIGHT(AA$2,4)),$J10,0)*((1+Assumptions!$B$19)^($M10-Assumptions!$B$18)))*(1+Assumptions!$B$20))*(1+(Assumptions!$B$21+Assumptions!$B$22)))*(1+Assumptions!$B$23)</f>
        <v>0</v>
      </c>
      <c r="AB10" s="4">
        <f>(((IF($M10=VALUE(RIGHT(AB$2,4)),$J10,0)*((1+Assumptions!$B$19)^($M10-Assumptions!$B$18)))*(1+Assumptions!$B$20))*(1+(Assumptions!$B$21+Assumptions!$B$22)))*(1+Assumptions!$B$23)</f>
        <v>0</v>
      </c>
    </row>
    <row r="11" spans="1:28" ht="12.75">
      <c r="A11" s="9" t="s">
        <v>86</v>
      </c>
      <c r="B11" s="52" t="s">
        <v>94</v>
      </c>
      <c r="C11" s="52" t="s">
        <v>174</v>
      </c>
      <c r="D11" s="3" t="s">
        <v>144</v>
      </c>
      <c r="E11" s="3" t="s">
        <v>101</v>
      </c>
      <c r="F11" t="s">
        <v>60</v>
      </c>
      <c r="G11" s="4">
        <f>LOOKUP(B11,'Heery Data'!$B$59:$B$77,'Heery Data'!$C$59:$C$77)</f>
        <v>71785</v>
      </c>
      <c r="H11" s="4">
        <f>IF(F11="New",LOOKUP(D11,Assumptions!$A$12:$A$15,Assumptions!$B$12:$B$15)*LOOKUP(E11,Assumptions!$A$2:$A$9,Assumptions!$C$2:$C$9),0)</f>
        <v>0</v>
      </c>
      <c r="I11" s="51">
        <f>IF(F11="New",LOOKUP(E11,Assumptions!$A$2:$A$9,Assumptions!$B$2:$B$9),I11)</f>
        <v>0</v>
      </c>
      <c r="J11" s="50">
        <v>0</v>
      </c>
      <c r="K11" s="84"/>
      <c r="L11" s="4">
        <f>IF(F11="New",0,(G11*((1+Assumptions!$B$19)^($M11-Assumptions!$B$18))*(1+Assumptions!$B$20)*(1+(Assumptions!$B$21+Assumptions!$B$22))*(1+Assumptions!$B$23))-(J11*((1+Assumptions!$B$19)^($M11-Assumptions!$B$18))*(1+Assumptions!$B$20)*(1+(Assumptions!$B$21+Assumptions!$B$22))*(1+Assumptions!$B$23)))</f>
        <v>71785</v>
      </c>
      <c r="M11" s="3">
        <v>2004</v>
      </c>
      <c r="N11" s="4">
        <v>43966</v>
      </c>
      <c r="O11" s="4">
        <f>1149+23440</f>
        <v>24589</v>
      </c>
      <c r="P11" s="4">
        <v>2081</v>
      </c>
      <c r="Q11" s="4">
        <f>(((IF($M11=VALUE(RIGHT(Q$2,4)),$J11,0)*((1+Assumptions!$B$19)^($M11-Assumptions!$B$18)))*(1+Assumptions!$B$20))*(1+(Assumptions!$B$21+Assumptions!$B$22)))*(1+Assumptions!$B$23)</f>
        <v>0</v>
      </c>
      <c r="R11" s="4">
        <f>(((IF($M11=VALUE(RIGHT(R$2,4)),$J11,0)*((1+Assumptions!$B$19)^($M11-Assumptions!$B$18)))*(1+Assumptions!$B$20))*(1+(Assumptions!$B$21+Assumptions!$B$22)))*(1+Assumptions!$B$23)</f>
        <v>0</v>
      </c>
      <c r="S11" s="4">
        <f>(((IF($M11=VALUE(RIGHT(S$2,4)),$J11,0)*((1+Assumptions!$B$19)^($M11-Assumptions!$B$18)))*(1+Assumptions!$B$20))*(1+(Assumptions!$B$21+Assumptions!$B$22)))*(1+Assumptions!$B$23)</f>
        <v>0</v>
      </c>
      <c r="T11" s="4">
        <f>(((IF($M11=VALUE(RIGHT(T$2,4)),$J11,0)*((1+Assumptions!$B$19)^($M11-Assumptions!$B$18)))*(1+Assumptions!$B$20))*(1+(Assumptions!$B$21+Assumptions!$B$22)))*(1+Assumptions!$B$23)</f>
        <v>0</v>
      </c>
      <c r="U11" s="4">
        <f>(((IF($M11=VALUE(RIGHT(U$2,4)),$J11,0)*((1+Assumptions!$B$19)^($M11-Assumptions!$B$18)))*(1+Assumptions!$B$20))*(1+(Assumptions!$B$21+Assumptions!$B$22)))*(1+Assumptions!$B$23)</f>
        <v>0</v>
      </c>
      <c r="V11" s="4">
        <f>(((IF($M11=VALUE(RIGHT(V$2,4)),$J11,0)*((1+Assumptions!$B$19)^($M11-Assumptions!$B$18)))*(1+Assumptions!$B$20))*(1+(Assumptions!$B$21+Assumptions!$B$22)))*(1+Assumptions!$B$23)</f>
        <v>0</v>
      </c>
      <c r="W11" s="4">
        <f>(((IF($M11=VALUE(RIGHT(W$2,4)),$J11,0)*((1+Assumptions!$B$19)^($M11-Assumptions!$B$18)))*(1+Assumptions!$B$20))*(1+(Assumptions!$B$21+Assumptions!$B$22)))*(1+Assumptions!$B$23)</f>
        <v>0</v>
      </c>
      <c r="X11" s="4">
        <f>(((IF($M11=VALUE(RIGHT(X$2,4)),$J11,0)*((1+Assumptions!$B$19)^($M11-Assumptions!$B$18)))*(1+Assumptions!$B$20))*(1+(Assumptions!$B$21+Assumptions!$B$22)))*(1+Assumptions!$B$23)</f>
        <v>0</v>
      </c>
      <c r="Y11" s="4">
        <f>(((IF($M11=VALUE(RIGHT(Y$2,4)),$J11,0)*((1+Assumptions!$B$19)^($M11-Assumptions!$B$18)))*(1+Assumptions!$B$20))*(1+(Assumptions!$B$21+Assumptions!$B$22)))*(1+Assumptions!$B$23)</f>
        <v>0</v>
      </c>
      <c r="Z11" s="4">
        <f>(((IF($M11=VALUE(RIGHT(Z$2,4)),$J11,0)*((1+Assumptions!$B$19)^($M11-Assumptions!$B$18)))*(1+Assumptions!$B$20))*(1+(Assumptions!$B$21+Assumptions!$B$22)))*(1+Assumptions!$B$23)</f>
        <v>0</v>
      </c>
      <c r="AA11" s="4">
        <f>(((IF($M11=VALUE(RIGHT(AA$2,4)),$J11,0)*((1+Assumptions!$B$19)^($M11-Assumptions!$B$18)))*(1+Assumptions!$B$20))*(1+(Assumptions!$B$21+Assumptions!$B$22)))*(1+Assumptions!$B$23)</f>
        <v>0</v>
      </c>
      <c r="AB11" s="4">
        <f>(((IF($M11=VALUE(RIGHT(AB$2,4)),$J11,0)*((1+Assumptions!$B$19)^($M11-Assumptions!$B$18)))*(1+Assumptions!$B$20))*(1+(Assumptions!$B$21+Assumptions!$B$22)))*(1+Assumptions!$B$23)</f>
        <v>0</v>
      </c>
    </row>
    <row r="12" spans="1:28" ht="12.75">
      <c r="A12" s="9" t="s">
        <v>87</v>
      </c>
      <c r="B12" s="52" t="s">
        <v>95</v>
      </c>
      <c r="C12" s="52" t="s">
        <v>174</v>
      </c>
      <c r="D12" s="3" t="s">
        <v>144</v>
      </c>
      <c r="E12" s="3" t="s">
        <v>101</v>
      </c>
      <c r="F12" t="s">
        <v>60</v>
      </c>
      <c r="G12" s="4">
        <f>LOOKUP(B12,'Heery Data'!$B$59:$B$77,'Heery Data'!$C$59:$C$77)</f>
        <v>81773</v>
      </c>
      <c r="H12" s="4">
        <f>IF(F12="New",LOOKUP(D12,Assumptions!$A$12:$A$15,Assumptions!$B$12:$B$15)*LOOKUP(E12,Assumptions!$A$2:$A$9,Assumptions!$C$2:$C$9),0)</f>
        <v>0</v>
      </c>
      <c r="I12" s="51">
        <f>IF(F12="New",LOOKUP(E12,Assumptions!$A$2:$A$9,Assumptions!$B$2:$B$9),I12)</f>
        <v>0</v>
      </c>
      <c r="J12" s="50">
        <v>0</v>
      </c>
      <c r="K12" s="84"/>
      <c r="L12" s="4">
        <f>IF(F12="New",0,(G12*((1+Assumptions!$B$19)^($M12-Assumptions!$B$18))*(1+Assumptions!$B$20)*(1+(Assumptions!$B$21+Assumptions!$B$22))*(1+Assumptions!$B$23))-(J12*((1+Assumptions!$B$19)^($M12-Assumptions!$B$18))*(1+Assumptions!$B$20)*(1+(Assumptions!$B$21+Assumptions!$B$22))*(1+Assumptions!$B$23)))</f>
        <v>81773</v>
      </c>
      <c r="M12" s="3">
        <v>2004</v>
      </c>
      <c r="N12" s="4">
        <v>43327</v>
      </c>
      <c r="O12" s="4">
        <f>7503+23440</f>
        <v>30943</v>
      </c>
      <c r="P12" s="4">
        <v>0</v>
      </c>
      <c r="Q12" s="4">
        <f>(((IF($M12=VALUE(RIGHT(Q$2,4)),$J12,0)*((1+Assumptions!$B$19)^($M12-Assumptions!$B$18)))*(1+Assumptions!$B$20))*(1+(Assumptions!$B$21+Assumptions!$B$22)))*(1+Assumptions!$B$23)</f>
        <v>0</v>
      </c>
      <c r="R12" s="4">
        <f>(((IF($M12=VALUE(RIGHT(R$2,4)),$J12,0)*((1+Assumptions!$B$19)^($M12-Assumptions!$B$18)))*(1+Assumptions!$B$20))*(1+(Assumptions!$B$21+Assumptions!$B$22)))*(1+Assumptions!$B$23)</f>
        <v>0</v>
      </c>
      <c r="S12" s="4">
        <f>(((IF($M12=VALUE(RIGHT(S$2,4)),$J12,0)*((1+Assumptions!$B$19)^($M12-Assumptions!$B$18)))*(1+Assumptions!$B$20))*(1+(Assumptions!$B$21+Assumptions!$B$22)))*(1+Assumptions!$B$23)</f>
        <v>0</v>
      </c>
      <c r="T12" s="4">
        <f>(((IF($M12=VALUE(RIGHT(T$2,4)),$J12,0)*((1+Assumptions!$B$19)^($M12-Assumptions!$B$18)))*(1+Assumptions!$B$20))*(1+(Assumptions!$B$21+Assumptions!$B$22)))*(1+Assumptions!$B$23)</f>
        <v>0</v>
      </c>
      <c r="U12" s="4">
        <f>(((IF($M12=VALUE(RIGHT(U$2,4)),$J12,0)*((1+Assumptions!$B$19)^($M12-Assumptions!$B$18)))*(1+Assumptions!$B$20))*(1+(Assumptions!$B$21+Assumptions!$B$22)))*(1+Assumptions!$B$23)</f>
        <v>0</v>
      </c>
      <c r="V12" s="4">
        <f>(((IF($M12=VALUE(RIGHT(V$2,4)),$J12,0)*((1+Assumptions!$B$19)^($M12-Assumptions!$B$18)))*(1+Assumptions!$B$20))*(1+(Assumptions!$B$21+Assumptions!$B$22)))*(1+Assumptions!$B$23)</f>
        <v>0</v>
      </c>
      <c r="W12" s="4">
        <f>(((IF($M12=VALUE(RIGHT(W$2,4)),$J12,0)*((1+Assumptions!$B$19)^($M12-Assumptions!$B$18)))*(1+Assumptions!$B$20))*(1+(Assumptions!$B$21+Assumptions!$B$22)))*(1+Assumptions!$B$23)</f>
        <v>0</v>
      </c>
      <c r="X12" s="4">
        <f>(((IF($M12=VALUE(RIGHT(X$2,4)),$J12,0)*((1+Assumptions!$B$19)^($M12-Assumptions!$B$18)))*(1+Assumptions!$B$20))*(1+(Assumptions!$B$21+Assumptions!$B$22)))*(1+Assumptions!$B$23)</f>
        <v>0</v>
      </c>
      <c r="Y12" s="4">
        <f>(((IF($M12=VALUE(RIGHT(Y$2,4)),$J12,0)*((1+Assumptions!$B$19)^($M12-Assumptions!$B$18)))*(1+Assumptions!$B$20))*(1+(Assumptions!$B$21+Assumptions!$B$22)))*(1+Assumptions!$B$23)</f>
        <v>0</v>
      </c>
      <c r="Z12" s="4">
        <f>(((IF($M12=VALUE(RIGHT(Z$2,4)),$J12,0)*((1+Assumptions!$B$19)^($M12-Assumptions!$B$18)))*(1+Assumptions!$B$20))*(1+(Assumptions!$B$21+Assumptions!$B$22)))*(1+Assumptions!$B$23)</f>
        <v>0</v>
      </c>
      <c r="AA12" s="4">
        <f>(((IF($M12=VALUE(RIGHT(AA$2,4)),$J12,0)*((1+Assumptions!$B$19)^($M12-Assumptions!$B$18)))*(1+Assumptions!$B$20))*(1+(Assumptions!$B$21+Assumptions!$B$22)))*(1+Assumptions!$B$23)</f>
        <v>0</v>
      </c>
      <c r="AB12" s="4">
        <f>(((IF($M12=VALUE(RIGHT(AB$2,4)),$J12,0)*((1+Assumptions!$B$19)^($M12-Assumptions!$B$18)))*(1+Assumptions!$B$20))*(1+(Assumptions!$B$21+Assumptions!$B$22)))*(1+Assumptions!$B$23)</f>
        <v>0</v>
      </c>
    </row>
    <row r="13" spans="1:28" s="25" customFormat="1" ht="35.25">
      <c r="A13" s="66" t="s">
        <v>147</v>
      </c>
      <c r="B13" s="57" t="s">
        <v>215</v>
      </c>
      <c r="C13" s="57" t="s">
        <v>174</v>
      </c>
      <c r="D13" s="58" t="s">
        <v>144</v>
      </c>
      <c r="E13" s="58" t="s">
        <v>213</v>
      </c>
      <c r="F13" s="13" t="s">
        <v>59</v>
      </c>
      <c r="G13" s="59">
        <f>LOOKUP(B13,'Heery Data'!$B$59:$B$77,'Heery Data'!$C$59:$C$77)</f>
        <v>0</v>
      </c>
      <c r="H13" s="59">
        <f>240000*0.23</f>
        <v>55200</v>
      </c>
      <c r="I13" s="60">
        <f>IF(F13="New",LOOKUP(E13,Assumptions!$A$1:$A$10,Assumptions!$B$1:$B$10),I13)</f>
        <v>442726.72400000005</v>
      </c>
      <c r="J13" s="61">
        <f>IF(F13="New",LOOKUP(E13,Assumptions!$A$1:$A$10,Assumptions!$B$1:$B$10),#REF!)+H13</f>
        <v>497926.72400000005</v>
      </c>
      <c r="K13" s="85"/>
      <c r="L13" s="59">
        <f>IF(F13="New",0,(G13*((1+Assumptions!$B$19)^($M13-Assumptions!$B$18))*(1+Assumptions!$B$20)*(1+(Assumptions!$B$21+Assumptions!$B$22))*(1+Assumptions!$B$23))-(J13*((1+Assumptions!$B$19)^($M13-Assumptions!$B$18))*(1+Assumptions!$B$20)*(1+(Assumptions!$B$21+Assumptions!$B$22))*(1+Assumptions!$B$23)))</f>
        <v>0</v>
      </c>
      <c r="M13" s="58">
        <v>2011</v>
      </c>
      <c r="N13" s="59">
        <f>(((IF($M13=VALUE(RIGHT(N$2,4)),$J13,0)*((1+Assumptions!$B$19)^($M13-Assumptions!$B$18)))*(1+Assumptions!$B$20))*(1+(Assumptions!$B$21+Assumptions!$B$22)))*(1+Assumptions!$B$23)</f>
        <v>0</v>
      </c>
      <c r="O13" s="59">
        <f>(((IF($M13=VALUE(RIGHT(O$2,4)),$J13,0)*((1+Assumptions!$B$19)^($M13-Assumptions!$B$18)))*(1+Assumptions!$B$20))*(1+(Assumptions!$B$21+Assumptions!$B$22)))*(1+Assumptions!$B$23)</f>
        <v>0</v>
      </c>
      <c r="P13" s="59">
        <f>(((IF($M13=VALUE(RIGHT(P$2,4)),$J13,0)*((1+Assumptions!$B$19)^($M13-Assumptions!$B$18)))*(1+Assumptions!$B$20))*(1+(Assumptions!$B$21+Assumptions!$B$22)))*(1+Assumptions!$B$23)</f>
        <v>0</v>
      </c>
      <c r="Q13" s="59"/>
      <c r="R13" s="59">
        <f>((((IF($M13=VALUE(RIGHT(R$2,4)),$J13,0)*((1+Assumptions!$B$19)^($M13-Assumptions!$B$18)))*(1+Assumptions!$B$20))*(1+(Assumptions!$B$21+Assumptions!$B$22)))*(1+Assumptions!$B$23))/2</f>
        <v>0</v>
      </c>
      <c r="S13" s="59">
        <f>(((IF($M13=VALUE(RIGHT(S$2,4)),$J13,0)*((1+Assumptions!$B$19)^($M13-Assumptions!$B$18)))*(1+Assumptions!$B$20))*(1+(Assumptions!$B$21+Assumptions!$B$22)))*(1+Assumptions!$B$23)</f>
        <v>0</v>
      </c>
      <c r="T13" s="59">
        <f>J13/2</f>
        <v>248963.36200000002</v>
      </c>
      <c r="U13" s="59">
        <f>J13/2</f>
        <v>248963.36200000002</v>
      </c>
      <c r="V13" s="59">
        <f>(((IF($M13=VALUE(RIGHT(V$2,4)),$J13,0)*((1+Assumptions!$B$19)^($M13-Assumptions!$B$18)))*(1+Assumptions!$B$20))*(1+(Assumptions!$B$21+Assumptions!$B$22)))*(1+Assumptions!$B$23)</f>
        <v>0</v>
      </c>
      <c r="W13" s="59">
        <f>(((IF($M13=VALUE(RIGHT(W$2,4)),$J13,0)*((1+Assumptions!$B$19)^($M13-Assumptions!$B$18)))*(1+Assumptions!$B$20))*(1+(Assumptions!$B$21+Assumptions!$B$22)))*(1+Assumptions!$B$23)</f>
        <v>0</v>
      </c>
      <c r="X13" s="59">
        <f>(((IF($M13=VALUE(RIGHT(X$2,4)),$J13,0)*((1+Assumptions!$B$19)^($M13-Assumptions!$B$18)))*(1+Assumptions!$B$20))*(1+(Assumptions!$B$21+Assumptions!$B$22)))*(1+Assumptions!$B$23)</f>
        <v>0</v>
      </c>
      <c r="Y13" s="59">
        <f>(((IF($M13=VALUE(RIGHT(Y$2,4)),$J13,0)*((1+Assumptions!$B$19)^($M13-Assumptions!$B$18)))*(1+Assumptions!$B$20))*(1+(Assumptions!$B$21+Assumptions!$B$22)))*(1+Assumptions!$B$23)</f>
        <v>0</v>
      </c>
      <c r="Z13" s="59">
        <f>(((IF($M13=VALUE(RIGHT(Z$2,4)),$J13,0)*((1+Assumptions!$B$19)^($M13-Assumptions!$B$18)))*(1+Assumptions!$B$20))*(1+(Assumptions!$B$21+Assumptions!$B$22)))*(1+Assumptions!$B$23)</f>
        <v>0</v>
      </c>
      <c r="AA13" s="59">
        <f>(((IF($M13=VALUE(RIGHT(AA$2,4)),$J13,0)*((1+Assumptions!$B$19)^($M13-Assumptions!$B$18)))*(1+Assumptions!$B$20))*(1+(Assumptions!$B$21+Assumptions!$B$22)))*(1+Assumptions!$B$23)</f>
        <v>0</v>
      </c>
      <c r="AB13" s="59">
        <f>(((IF($M13=VALUE(RIGHT(AB$2,4)),$J13,0)*((1+Assumptions!$B$19)^($M13-Assumptions!$B$18)))*(1+Assumptions!$B$20))*(1+(Assumptions!$B$21+Assumptions!$B$22)))*(1+Assumptions!$B$23)</f>
        <v>0</v>
      </c>
    </row>
    <row r="14" spans="1:28" s="7" customFormat="1" ht="25.5">
      <c r="A14" s="8">
        <v>47</v>
      </c>
      <c r="B14" s="7" t="s">
        <v>76</v>
      </c>
      <c r="C14" s="7" t="s">
        <v>173</v>
      </c>
      <c r="D14" s="6" t="s">
        <v>142</v>
      </c>
      <c r="E14" s="6" t="s">
        <v>141</v>
      </c>
      <c r="F14" t="s">
        <v>60</v>
      </c>
      <c r="G14" s="4">
        <f>LOOKUP(B14,'Heery Data'!$B$59:$B$77,'Heery Data'!$C$59:$C$77)</f>
        <v>188173</v>
      </c>
      <c r="H14" s="4">
        <f>IF(F14="New",LOOKUP(D14,Assumptions!$A$12:$A$15,Assumptions!$B$12:$B$15)*LOOKUP(E14,Assumptions!$A$2:$A$9,Assumptions!$C$2:$C$9),0)</f>
        <v>0</v>
      </c>
      <c r="I14" s="51">
        <f>IF(F14="New",LOOKUP(E14,Assumptions!$A$2:$A$9,Assumptions!$B$2:$B$9),I14)</f>
        <v>0</v>
      </c>
      <c r="J14" s="50">
        <v>0</v>
      </c>
      <c r="K14" s="84"/>
      <c r="L14" s="4">
        <f>IF(F14="New",0,(G14*((1+Assumptions!$B$19)^($M14-Assumptions!$B$18))*(1+Assumptions!$B$20)*(1+(Assumptions!$B$21+Assumptions!$B$22))*(1+Assumptions!$B$23))-(J14*((1+Assumptions!$B$19)^($M14-Assumptions!$B$18))*(1+Assumptions!$B$20)*(1+(Assumptions!$B$21+Assumptions!$B$22))*(1+Assumptions!$B$23)))</f>
        <v>188173</v>
      </c>
      <c r="M14" s="6">
        <v>2004</v>
      </c>
      <c r="N14" s="4">
        <v>37503</v>
      </c>
      <c r="O14" s="4">
        <f>41246+49436</f>
        <v>90682</v>
      </c>
      <c r="P14" s="4">
        <v>18742</v>
      </c>
      <c r="Q14" s="4">
        <f>(((IF($M14=VALUE(RIGHT(Q$2,4)),$J14,0)*((1+Assumptions!$B$19)^($M14-Assumptions!$B$18)))*(1+Assumptions!$B$20))*(1+(Assumptions!$B$21+Assumptions!$B$22)))*(1+Assumptions!$B$23)</f>
        <v>0</v>
      </c>
      <c r="R14" s="4">
        <f>(((IF($M14=VALUE(RIGHT(R$2,4)),$J14,0)*((1+Assumptions!$B$19)^($M14-Assumptions!$B$18)))*(1+Assumptions!$B$20))*(1+(Assumptions!$B$21+Assumptions!$B$22)))*(1+Assumptions!$B$23)</f>
        <v>0</v>
      </c>
      <c r="S14" s="4">
        <f>(((IF($M14=VALUE(RIGHT(S$2,4)),$J14,0)*((1+Assumptions!$B$19)^($M14-Assumptions!$B$18)))*(1+Assumptions!$B$20))*(1+(Assumptions!$B$21+Assumptions!$B$22)))*(1+Assumptions!$B$23)</f>
        <v>0</v>
      </c>
      <c r="T14" s="4">
        <f>(((IF($M14=VALUE(RIGHT(T$2,4)),$J14,0)*((1+Assumptions!$B$19)^($M14-Assumptions!$B$18)))*(1+Assumptions!$B$20))*(1+(Assumptions!$B$21+Assumptions!$B$22)))*(1+Assumptions!$B$23)</f>
        <v>0</v>
      </c>
      <c r="U14" s="4">
        <f>(((IF($M14=VALUE(RIGHT(U$2,4)),$J14,0)*((1+Assumptions!$B$19)^($M14-Assumptions!$B$18)))*(1+Assumptions!$B$20))*(1+(Assumptions!$B$21+Assumptions!$B$22)))*(1+Assumptions!$B$23)</f>
        <v>0</v>
      </c>
      <c r="V14" s="4">
        <f>(((IF($M14=VALUE(RIGHT(V$2,4)),$J14,0)*((1+Assumptions!$B$19)^($M14-Assumptions!$B$18)))*(1+Assumptions!$B$20))*(1+(Assumptions!$B$21+Assumptions!$B$22)))*(1+Assumptions!$B$23)</f>
        <v>0</v>
      </c>
      <c r="W14" s="4">
        <f>(((IF($M14=VALUE(RIGHT(W$2,4)),$J14,0)*((1+Assumptions!$B$19)^($M14-Assumptions!$B$18)))*(1+Assumptions!$B$20))*(1+(Assumptions!$B$21+Assumptions!$B$22)))*(1+Assumptions!$B$23)</f>
        <v>0</v>
      </c>
      <c r="X14" s="4">
        <f>(((IF($M14=VALUE(RIGHT(X$2,4)),$J14,0)*((1+Assumptions!$B$19)^($M14-Assumptions!$B$18)))*(1+Assumptions!$B$20))*(1+(Assumptions!$B$21+Assumptions!$B$22)))*(1+Assumptions!$B$23)</f>
        <v>0</v>
      </c>
      <c r="Y14" s="4">
        <f>(((IF($M14=VALUE(RIGHT(Y$2,4)),$J14,0)*((1+Assumptions!$B$19)^($M14-Assumptions!$B$18)))*(1+Assumptions!$B$20))*(1+(Assumptions!$B$21+Assumptions!$B$22)))*(1+Assumptions!$B$23)</f>
        <v>0</v>
      </c>
      <c r="Z14" s="4">
        <f>(((IF($M14=VALUE(RIGHT(Z$2,4)),$J14,0)*((1+Assumptions!$B$19)^($M14-Assumptions!$B$18)))*(1+Assumptions!$B$20))*(1+(Assumptions!$B$21+Assumptions!$B$22)))*(1+Assumptions!$B$23)</f>
        <v>0</v>
      </c>
      <c r="AA14" s="4">
        <f>(((IF($M14=VALUE(RIGHT(AA$2,4)),$J14,0)*((1+Assumptions!$B$19)^($M14-Assumptions!$B$18)))*(1+Assumptions!$B$20))*(1+(Assumptions!$B$21+Assumptions!$B$22)))*(1+Assumptions!$B$23)</f>
        <v>0</v>
      </c>
      <c r="AB14" s="4">
        <f>(((IF($M14=VALUE(RIGHT(AB$2,4)),$J14,0)*((1+Assumptions!$B$19)^($M14-Assumptions!$B$18)))*(1+Assumptions!$B$20))*(1+(Assumptions!$B$21+Assumptions!$B$22)))*(1+Assumptions!$B$23)</f>
        <v>0</v>
      </c>
    </row>
    <row r="15" spans="1:28" s="7" customFormat="1" ht="35.25">
      <c r="A15" s="8" t="s">
        <v>146</v>
      </c>
      <c r="B15" s="7" t="s">
        <v>225</v>
      </c>
      <c r="C15" s="7" t="s">
        <v>173</v>
      </c>
      <c r="D15" s="6" t="s">
        <v>142</v>
      </c>
      <c r="E15" s="6" t="s">
        <v>141</v>
      </c>
      <c r="F15" t="s">
        <v>60</v>
      </c>
      <c r="G15" s="4">
        <f>LOOKUP(B15,'Heery Data'!$B$59:$B$77,'Heery Data'!$C$59:$C$77)</f>
        <v>252066</v>
      </c>
      <c r="H15" s="4">
        <f>IF(F15="New",LOOKUP(D15,Assumptions!$A$12:$A$15,Assumptions!$B$12:$B$15)*LOOKUP(E15,Assumptions!$A$2:$A$9,Assumptions!$C$2:$C$9),0)</f>
        <v>0</v>
      </c>
      <c r="I15" s="51">
        <f>IF(F15="New",LOOKUP(E15,Assumptions!$A$2:$A$9,Assumptions!$B$2:$B$9),I15)</f>
        <v>0</v>
      </c>
      <c r="J15" s="50">
        <v>0</v>
      </c>
      <c r="K15" s="84"/>
      <c r="L15" s="4">
        <f>IF(F15="New",0,(G15*((1+Assumptions!$B$19)^($M15-Assumptions!$B$18))*(1+Assumptions!$B$20)*(1+(Assumptions!$B$21+Assumptions!$B$22))*(1+Assumptions!$B$23))-(J15*((1+Assumptions!$B$19)^($M15-Assumptions!$B$18))*(1+Assumptions!$B$20)*(1+(Assumptions!$B$21+Assumptions!$B$22))*(1+Assumptions!$B$23)))</f>
        <v>252066</v>
      </c>
      <c r="M15" s="6">
        <v>2004</v>
      </c>
      <c r="N15" s="4">
        <v>102589</v>
      </c>
      <c r="O15" s="4">
        <f>82038+193600+48400+2131+23552+11223+42617+39094+13179+22729</f>
        <v>478563</v>
      </c>
      <c r="P15" s="4">
        <f>67439+9676+36010</f>
        <v>113125</v>
      </c>
      <c r="Q15" s="4">
        <f>(((IF($M15=VALUE(RIGHT(Q$2,4)),$J15,0)*((1+Assumptions!$B$19)^($M15-Assumptions!$B$18)))*(1+Assumptions!$B$20))*(1+(Assumptions!$B$21+Assumptions!$B$22)))*(1+Assumptions!$B$23)</f>
        <v>0</v>
      </c>
      <c r="R15" s="4">
        <f>(((IF($M15=VALUE(RIGHT(R$2,4)),$J15,0)*((1+Assumptions!$B$19)^($M15-Assumptions!$B$18)))*(1+Assumptions!$B$20))*(1+(Assumptions!$B$21+Assumptions!$B$22)))*(1+Assumptions!$B$23)</f>
        <v>0</v>
      </c>
      <c r="S15" s="4">
        <f>(((IF($M15=VALUE(RIGHT(S$2,4)),$J15,0)*((1+Assumptions!$B$19)^($M15-Assumptions!$B$18)))*(1+Assumptions!$B$20))*(1+(Assumptions!$B$21+Assumptions!$B$22)))*(1+Assumptions!$B$23)</f>
        <v>0</v>
      </c>
      <c r="T15" s="4">
        <f>(((IF($M15=VALUE(RIGHT(T$2,4)),$J15,0)*((1+Assumptions!$B$19)^($M15-Assumptions!$B$18)))*(1+Assumptions!$B$20))*(1+(Assumptions!$B$21+Assumptions!$B$22)))*(1+Assumptions!$B$23)</f>
        <v>0</v>
      </c>
      <c r="U15" s="4">
        <f>(((IF($M15=VALUE(RIGHT(U$2,4)),$J15,0)*((1+Assumptions!$B$19)^($M15-Assumptions!$B$18)))*(1+Assumptions!$B$20))*(1+(Assumptions!$B$21+Assumptions!$B$22)))*(1+Assumptions!$B$23)</f>
        <v>0</v>
      </c>
      <c r="V15" s="4">
        <f>(((IF($M15=VALUE(RIGHT(V$2,4)),$J15,0)*((1+Assumptions!$B$19)^($M15-Assumptions!$B$18)))*(1+Assumptions!$B$20))*(1+(Assumptions!$B$21+Assumptions!$B$22)))*(1+Assumptions!$B$23)</f>
        <v>0</v>
      </c>
      <c r="W15" s="4">
        <f>(((IF($M15=VALUE(RIGHT(W$2,4)),$J15,0)*((1+Assumptions!$B$19)^($M15-Assumptions!$B$18)))*(1+Assumptions!$B$20))*(1+(Assumptions!$B$21+Assumptions!$B$22)))*(1+Assumptions!$B$23)</f>
        <v>0</v>
      </c>
      <c r="X15" s="4">
        <f>(((IF($M15=VALUE(RIGHT(X$2,4)),$J15,0)*((1+Assumptions!$B$19)^($M15-Assumptions!$B$18)))*(1+Assumptions!$B$20))*(1+(Assumptions!$B$21+Assumptions!$B$22)))*(1+Assumptions!$B$23)</f>
        <v>0</v>
      </c>
      <c r="Y15" s="4">
        <f>(((IF($M15=VALUE(RIGHT(Y$2,4)),$J15,0)*((1+Assumptions!$B$19)^($M15-Assumptions!$B$18)))*(1+Assumptions!$B$20))*(1+(Assumptions!$B$21+Assumptions!$B$22)))*(1+Assumptions!$B$23)</f>
        <v>0</v>
      </c>
      <c r="Z15" s="4">
        <f>(((IF($M15=VALUE(RIGHT(Z$2,4)),$J15,0)*((1+Assumptions!$B$19)^($M15-Assumptions!$B$18)))*(1+Assumptions!$B$20))*(1+(Assumptions!$B$21+Assumptions!$B$22)))*(1+Assumptions!$B$23)</f>
        <v>0</v>
      </c>
      <c r="AA15" s="4">
        <f>(((IF($M15=VALUE(RIGHT(AA$2,4)),$J15,0)*((1+Assumptions!$B$19)^($M15-Assumptions!$B$18)))*(1+Assumptions!$B$20))*(1+(Assumptions!$B$21+Assumptions!$B$22)))*(1+Assumptions!$B$23)</f>
        <v>0</v>
      </c>
      <c r="AB15" s="4">
        <f>(((IF($M15=VALUE(RIGHT(AB$2,4)),$J15,0)*((1+Assumptions!$B$19)^($M15-Assumptions!$B$18)))*(1+Assumptions!$B$20))*(1+(Assumptions!$B$21+Assumptions!$B$22)))*(1+Assumptions!$B$23)</f>
        <v>0</v>
      </c>
    </row>
    <row r="16" spans="1:28" s="7" customFormat="1" ht="25.5">
      <c r="A16" s="8">
        <v>87</v>
      </c>
      <c r="B16" s="7" t="s">
        <v>208</v>
      </c>
      <c r="C16" s="7" t="s">
        <v>173</v>
      </c>
      <c r="D16" s="6" t="s">
        <v>142</v>
      </c>
      <c r="E16" s="6" t="s">
        <v>141</v>
      </c>
      <c r="F16" t="s">
        <v>60</v>
      </c>
      <c r="G16" s="4">
        <f>LOOKUP(B16,'Heery Data'!$B$59:$B$77,'Heery Data'!$C$59:$C$77)</f>
        <v>270064</v>
      </c>
      <c r="H16" s="4">
        <f>IF(F16="New",LOOKUP(D16,Assumptions!$A$12:$A$15,Assumptions!$B$12:$B$15)*LOOKUP(E16,Assumptions!$A$2:$A$9,Assumptions!$C$2:$C$9),0)</f>
        <v>0</v>
      </c>
      <c r="I16" s="51">
        <f>IF(F16="New",LOOKUP(E16,Assumptions!$A$2:$A$9,Assumptions!$B$2:$B$9),I16)</f>
        <v>0</v>
      </c>
      <c r="J16" s="50">
        <v>0</v>
      </c>
      <c r="K16" s="84"/>
      <c r="L16" s="4">
        <f>IF(F16="New",0,(G16*((1+Assumptions!$B$19)^($M16-Assumptions!$B$18))*(1+Assumptions!$B$20)*(1+(Assumptions!$B$21+Assumptions!$B$22))*(1+Assumptions!$B$23))-(J16*((1+Assumptions!$B$19)^($M16-Assumptions!$B$18))*(1+Assumptions!$B$20)*(1+(Assumptions!$B$21+Assumptions!$B$22))*(1+Assumptions!$B$23)))</f>
        <v>270064</v>
      </c>
      <c r="M16" s="6">
        <v>2004</v>
      </c>
      <c r="N16" s="4">
        <v>38789</v>
      </c>
      <c r="O16" s="4">
        <f>60510+93758+48400</f>
        <v>202668</v>
      </c>
      <c r="P16" s="4">
        <v>16497</v>
      </c>
      <c r="Q16" s="4">
        <f>(((IF($M16=VALUE(RIGHT(Q$2,4)),$J16,0)*((1+Assumptions!$B$19)^($M16-Assumptions!$B$18)))*(1+Assumptions!$B$20))*(1+(Assumptions!$B$21+Assumptions!$B$22)))*(1+Assumptions!$B$23)</f>
        <v>0</v>
      </c>
      <c r="R16" s="4">
        <f>(((IF($M16=VALUE(RIGHT(R$2,4)),$J16,0)*((1+Assumptions!$B$19)^($M16-Assumptions!$B$18)))*(1+Assumptions!$B$20))*(1+(Assumptions!$B$21+Assumptions!$B$22)))*(1+Assumptions!$B$23)</f>
        <v>0</v>
      </c>
      <c r="S16" s="4">
        <f>(((IF($M16=VALUE(RIGHT(S$2,4)),$J16,0)*((1+Assumptions!$B$19)^($M16-Assumptions!$B$18)))*(1+Assumptions!$B$20))*(1+(Assumptions!$B$21+Assumptions!$B$22)))*(1+Assumptions!$B$23)</f>
        <v>0</v>
      </c>
      <c r="T16" s="4">
        <f>(((IF($M16=VALUE(RIGHT(T$2,4)),$J16,0)*((1+Assumptions!$B$19)^($M16-Assumptions!$B$18)))*(1+Assumptions!$B$20))*(1+(Assumptions!$B$21+Assumptions!$B$22)))*(1+Assumptions!$B$23)</f>
        <v>0</v>
      </c>
      <c r="U16" s="4">
        <f>(((IF($M16=VALUE(RIGHT(U$2,4)),$J16,0)*((1+Assumptions!$B$19)^($M16-Assumptions!$B$18)))*(1+Assumptions!$B$20))*(1+(Assumptions!$B$21+Assumptions!$B$22)))*(1+Assumptions!$B$23)</f>
        <v>0</v>
      </c>
      <c r="V16" s="4">
        <f>(((IF($M16=VALUE(RIGHT(V$2,4)),$J16,0)*((1+Assumptions!$B$19)^($M16-Assumptions!$B$18)))*(1+Assumptions!$B$20))*(1+(Assumptions!$B$21+Assumptions!$B$22)))*(1+Assumptions!$B$23)</f>
        <v>0</v>
      </c>
      <c r="W16" s="4">
        <f>(((IF($M16=VALUE(RIGHT(W$2,4)),$J16,0)*((1+Assumptions!$B$19)^($M16-Assumptions!$B$18)))*(1+Assumptions!$B$20))*(1+(Assumptions!$B$21+Assumptions!$B$22)))*(1+Assumptions!$B$23)</f>
        <v>0</v>
      </c>
      <c r="X16" s="4">
        <f>(((IF($M16=VALUE(RIGHT(X$2,4)),$J16,0)*((1+Assumptions!$B$19)^($M16-Assumptions!$B$18)))*(1+Assumptions!$B$20))*(1+(Assumptions!$B$21+Assumptions!$B$22)))*(1+Assumptions!$B$23)</f>
        <v>0</v>
      </c>
      <c r="Y16" s="4">
        <f>(((IF($M16=VALUE(RIGHT(Y$2,4)),$J16,0)*((1+Assumptions!$B$19)^($M16-Assumptions!$B$18)))*(1+Assumptions!$B$20))*(1+(Assumptions!$B$21+Assumptions!$B$22)))*(1+Assumptions!$B$23)</f>
        <v>0</v>
      </c>
      <c r="Z16" s="4">
        <f>(((IF($M16=VALUE(RIGHT(Z$2,4)),$J16,0)*((1+Assumptions!$B$19)^($M16-Assumptions!$B$18)))*(1+Assumptions!$B$20))*(1+(Assumptions!$B$21+Assumptions!$B$22)))*(1+Assumptions!$B$23)</f>
        <v>0</v>
      </c>
      <c r="AA16" s="4">
        <f>(((IF($M16=VALUE(RIGHT(AA$2,4)),$J16,0)*((1+Assumptions!$B$19)^($M16-Assumptions!$B$18)))*(1+Assumptions!$B$20))*(1+(Assumptions!$B$21+Assumptions!$B$22)))*(1+Assumptions!$B$23)</f>
        <v>0</v>
      </c>
      <c r="AB16" s="4">
        <f>(((IF($M16=VALUE(RIGHT(AB$2,4)),$J16,0)*((1+Assumptions!$B$19)^($M16-Assumptions!$B$18)))*(1+Assumptions!$B$20))*(1+(Assumptions!$B$21+Assumptions!$B$22)))*(1+Assumptions!$B$23)</f>
        <v>0</v>
      </c>
    </row>
    <row r="17" spans="1:28" s="7" customFormat="1" ht="25.5">
      <c r="A17" s="21"/>
      <c r="B17" s="67" t="s">
        <v>210</v>
      </c>
      <c r="C17" s="67" t="s">
        <v>173</v>
      </c>
      <c r="D17" s="68"/>
      <c r="E17" s="68" t="s">
        <v>149</v>
      </c>
      <c r="F17" s="13" t="s">
        <v>59</v>
      </c>
      <c r="G17" s="59"/>
      <c r="H17" s="59">
        <f>400000*0.23</f>
        <v>92000</v>
      </c>
      <c r="I17" s="60">
        <f>IF(F17="New",LOOKUP(E17,Assumptions!$A$2:$A$9,Assumptions!$B$2:$B$9),I17)</f>
        <v>593010</v>
      </c>
      <c r="J17" s="61">
        <f>I17+H17</f>
        <v>685010</v>
      </c>
      <c r="K17" s="85"/>
      <c r="L17" s="59"/>
      <c r="M17" s="68">
        <v>2006</v>
      </c>
      <c r="N17" s="59"/>
      <c r="O17" s="59">
        <f>J17/2</f>
        <v>342505</v>
      </c>
      <c r="P17" s="59">
        <f>J17/2</f>
        <v>342505</v>
      </c>
      <c r="Q17" s="59"/>
      <c r="R17" s="59"/>
      <c r="S17" s="59"/>
      <c r="T17" s="59"/>
      <c r="U17" s="59"/>
      <c r="V17" s="59"/>
      <c r="W17" s="59"/>
      <c r="X17" s="59"/>
      <c r="Y17" s="59"/>
      <c r="Z17" s="59"/>
      <c r="AA17" s="59"/>
      <c r="AB17" s="59"/>
    </row>
    <row r="18" spans="1:28" s="7" customFormat="1" ht="25.5">
      <c r="A18" s="8">
        <v>87</v>
      </c>
      <c r="B18" s="7" t="s">
        <v>96</v>
      </c>
      <c r="C18" s="7" t="s">
        <v>172</v>
      </c>
      <c r="D18" s="6" t="s">
        <v>142</v>
      </c>
      <c r="E18" s="6" t="s">
        <v>101</v>
      </c>
      <c r="F18" t="s">
        <v>60</v>
      </c>
      <c r="G18" s="4">
        <f>LOOKUP(B18,'Heery Data'!$B$59:$B$77,'Heery Data'!$C$59:$C$77)</f>
        <v>7137</v>
      </c>
      <c r="H18" s="4">
        <f>IF(F18="New",LOOKUP(D18,Assumptions!$A$12:$A$15,Assumptions!$B$12:$B$15)*LOOKUP(E18,Assumptions!$A$2:$A$9,Assumptions!$C$2:$C$9),0)</f>
        <v>0</v>
      </c>
      <c r="I18" s="51">
        <f>IF(F18="New",LOOKUP(E18,Assumptions!$A$2:$A$9,Assumptions!$B$2:$B$9),I18)</f>
        <v>0</v>
      </c>
      <c r="J18" s="50">
        <v>0</v>
      </c>
      <c r="K18" s="84"/>
      <c r="L18" s="4">
        <f>IF(F18="New",0,(G18*((1+Assumptions!$B$19)^($M18-Assumptions!$B$18))*(1+Assumptions!$B$20)*(1+(Assumptions!$B$21+Assumptions!$B$22))*(1+Assumptions!$B$23))-(J18*((1+Assumptions!$B$19)^($M18-Assumptions!$B$18))*(1+Assumptions!$B$20)*(1+(Assumptions!$B$21+Assumptions!$B$22))*(1+Assumptions!$B$23)))</f>
        <v>7137</v>
      </c>
      <c r="M18" s="6">
        <v>2004</v>
      </c>
      <c r="N18" s="4">
        <v>0</v>
      </c>
      <c r="O18" s="4">
        <f>(((IF($M18=VALUE(RIGHT(O$2,4)),$J18,0)*((1+Assumptions!$B$19)^($M18-Assumptions!$B$18)))*(1+Assumptions!$B$20))*(1+(Assumptions!$B$21+Assumptions!$B$22)))*(1+Assumptions!$B$23)</f>
        <v>0</v>
      </c>
      <c r="P18" s="4">
        <v>7137</v>
      </c>
      <c r="Q18" s="4">
        <f>(((IF($M18=VALUE(RIGHT(Q$2,4)),$J18,0)*((1+Assumptions!$B$19)^($M18-Assumptions!$B$18)))*(1+Assumptions!$B$20))*(1+(Assumptions!$B$21+Assumptions!$B$22)))*(1+Assumptions!$B$23)</f>
        <v>0</v>
      </c>
      <c r="R18" s="4">
        <f>(((IF($M18=VALUE(RIGHT(R$2,4)),$J18,0)*((1+Assumptions!$B$19)^($M18-Assumptions!$B$18)))*(1+Assumptions!$B$20))*(1+(Assumptions!$B$21+Assumptions!$B$22)))*(1+Assumptions!$B$23)</f>
        <v>0</v>
      </c>
      <c r="S18" s="4">
        <f>(((IF($M18=VALUE(RIGHT(S$2,4)),$J18,0)*((1+Assumptions!$B$19)^($M18-Assumptions!$B$18)))*(1+Assumptions!$B$20))*(1+(Assumptions!$B$21+Assumptions!$B$22)))*(1+Assumptions!$B$23)</f>
        <v>0</v>
      </c>
      <c r="T18" s="4">
        <f>(((IF($M18=VALUE(RIGHT(T$2,4)),$J18,0)*((1+Assumptions!$B$19)^($M18-Assumptions!$B$18)))*(1+Assumptions!$B$20))*(1+(Assumptions!$B$21+Assumptions!$B$22)))*(1+Assumptions!$B$23)</f>
        <v>0</v>
      </c>
      <c r="U18" s="4">
        <f>(((IF($M18=VALUE(RIGHT(U$2,4)),$J18,0)*((1+Assumptions!$B$19)^($M18-Assumptions!$B$18)))*(1+Assumptions!$B$20))*(1+(Assumptions!$B$21+Assumptions!$B$22)))*(1+Assumptions!$B$23)</f>
        <v>0</v>
      </c>
      <c r="V18" s="4">
        <f>(((IF($M18=VALUE(RIGHT(V$2,4)),$J18,0)*((1+Assumptions!$B$19)^($M18-Assumptions!$B$18)))*(1+Assumptions!$B$20))*(1+(Assumptions!$B$21+Assumptions!$B$22)))*(1+Assumptions!$B$23)</f>
        <v>0</v>
      </c>
      <c r="W18" s="4">
        <f>(((IF($M18=VALUE(RIGHT(W$2,4)),$J18,0)*((1+Assumptions!$B$19)^($M18-Assumptions!$B$18)))*(1+Assumptions!$B$20))*(1+(Assumptions!$B$21+Assumptions!$B$22)))*(1+Assumptions!$B$23)</f>
        <v>0</v>
      </c>
      <c r="X18" s="4">
        <f>(((IF($M18=VALUE(RIGHT(X$2,4)),$J18,0)*((1+Assumptions!$B$19)^($M18-Assumptions!$B$18)))*(1+Assumptions!$B$20))*(1+(Assumptions!$B$21+Assumptions!$B$22)))*(1+Assumptions!$B$23)</f>
        <v>0</v>
      </c>
      <c r="Y18" s="4">
        <f>(((IF($M18=VALUE(RIGHT(Y$2,4)),$J18,0)*((1+Assumptions!$B$19)^($M18-Assumptions!$B$18)))*(1+Assumptions!$B$20))*(1+(Assumptions!$B$21+Assumptions!$B$22)))*(1+Assumptions!$B$23)</f>
        <v>0</v>
      </c>
      <c r="Z18" s="4">
        <f>(((IF($M18=VALUE(RIGHT(Z$2,4)),$J18,0)*((1+Assumptions!$B$19)^($M18-Assumptions!$B$18)))*(1+Assumptions!$B$20))*(1+(Assumptions!$B$21+Assumptions!$B$22)))*(1+Assumptions!$B$23)</f>
        <v>0</v>
      </c>
      <c r="AA18" s="4">
        <f>(((IF($M18=VALUE(RIGHT(AA$2,4)),$J18,0)*((1+Assumptions!$B$19)^($M18-Assumptions!$B$18)))*(1+Assumptions!$B$20))*(1+(Assumptions!$B$21+Assumptions!$B$22)))*(1+Assumptions!$B$23)</f>
        <v>0</v>
      </c>
      <c r="AB18" s="4">
        <f>(((IF($M18=VALUE(RIGHT(AB$2,4)),$J18,0)*((1+Assumptions!$B$19)^($M18-Assumptions!$B$18)))*(1+Assumptions!$B$20))*(1+(Assumptions!$B$21+Assumptions!$B$22)))*(1+Assumptions!$B$23)</f>
        <v>0</v>
      </c>
    </row>
    <row r="19" spans="1:28" s="7" customFormat="1" ht="25.5">
      <c r="A19" s="8">
        <v>137</v>
      </c>
      <c r="B19" s="7" t="s">
        <v>70</v>
      </c>
      <c r="C19" s="7" t="s">
        <v>173</v>
      </c>
      <c r="D19" s="6" t="s">
        <v>143</v>
      </c>
      <c r="E19" s="6" t="s">
        <v>141</v>
      </c>
      <c r="F19" t="s">
        <v>60</v>
      </c>
      <c r="G19" s="4">
        <f>LOOKUP(B19,'Heery Data'!$B$59:$B$77,'Heery Data'!$C$59:$C$77)</f>
        <v>227632</v>
      </c>
      <c r="H19" s="4">
        <f>IF(F19="New",LOOKUP(D19,Assumptions!$A$12:$A$15,Assumptions!$B$12:$B$15)*LOOKUP(E19,Assumptions!$A$2:$A$9,Assumptions!$C$2:$C$9),0)</f>
        <v>0</v>
      </c>
      <c r="I19" s="51">
        <f>IF(F19="New",LOOKUP(E19,Assumptions!$A$2:$A$9,Assumptions!$B$2:$B$9),I19)</f>
        <v>0</v>
      </c>
      <c r="J19" s="50">
        <v>0</v>
      </c>
      <c r="K19" s="84"/>
      <c r="L19" s="4">
        <f>IF(F19="New",0,(G19*((1+Assumptions!$B$19)^($M19-Assumptions!$B$18))*(1+Assumptions!$B$20)*(1+(Assumptions!$B$21+Assumptions!$B$22))*(1+Assumptions!$B$23))-(J19*((1+Assumptions!$B$19)^($M19-Assumptions!$B$18))*(1+Assumptions!$B$20)*(1+(Assumptions!$B$21+Assumptions!$B$22))*(1+Assumptions!$B$23)))</f>
        <v>227632</v>
      </c>
      <c r="M19" s="6">
        <v>2004</v>
      </c>
      <c r="N19" s="4">
        <v>45353</v>
      </c>
      <c r="O19" s="4">
        <f>46297+70319</f>
        <v>116616</v>
      </c>
      <c r="P19" s="4">
        <v>19366</v>
      </c>
      <c r="Q19" s="4">
        <f>(((IF($M19=VALUE(RIGHT(Q$2,4)),$J19,0)*((1+Assumptions!$B$19)^($M19-Assumptions!$B$18)))*(1+Assumptions!$B$20))*(1+(Assumptions!$B$21+Assumptions!$B$22)))*(1+Assumptions!$B$23)</f>
        <v>0</v>
      </c>
      <c r="R19" s="4">
        <f>(((IF($M19=VALUE(RIGHT(R$2,4)),$J19,0)*((1+Assumptions!$B$19)^($M19-Assumptions!$B$18)))*(1+Assumptions!$B$20))*(1+(Assumptions!$B$21+Assumptions!$B$22)))*(1+Assumptions!$B$23)</f>
        <v>0</v>
      </c>
      <c r="S19" s="4">
        <f>(((IF($M19=VALUE(RIGHT(S$2,4)),$J19,0)*((1+Assumptions!$B$19)^($M19-Assumptions!$B$18)))*(1+Assumptions!$B$20))*(1+(Assumptions!$B$21+Assumptions!$B$22)))*(1+Assumptions!$B$23)</f>
        <v>0</v>
      </c>
      <c r="T19" s="4">
        <f>(((IF($M19=VALUE(RIGHT(T$2,4)),$J19,0)*((1+Assumptions!$B$19)^($M19-Assumptions!$B$18)))*(1+Assumptions!$B$20))*(1+(Assumptions!$B$21+Assumptions!$B$22)))*(1+Assumptions!$B$23)</f>
        <v>0</v>
      </c>
      <c r="U19" s="4">
        <f>(((IF($M19=VALUE(RIGHT(U$2,4)),$J19,0)*((1+Assumptions!$B$19)^($M19-Assumptions!$B$18)))*(1+Assumptions!$B$20))*(1+(Assumptions!$B$21+Assumptions!$B$22)))*(1+Assumptions!$B$23)</f>
        <v>0</v>
      </c>
      <c r="V19" s="4">
        <f>(((IF($M19=VALUE(RIGHT(V$2,4)),$J19,0)*((1+Assumptions!$B$19)^($M19-Assumptions!$B$18)))*(1+Assumptions!$B$20))*(1+(Assumptions!$B$21+Assumptions!$B$22)))*(1+Assumptions!$B$23)</f>
        <v>0</v>
      </c>
      <c r="W19" s="4">
        <f>(((IF($M19=VALUE(RIGHT(W$2,4)),$J19,0)*((1+Assumptions!$B$19)^($M19-Assumptions!$B$18)))*(1+Assumptions!$B$20))*(1+(Assumptions!$B$21+Assumptions!$B$22)))*(1+Assumptions!$B$23)</f>
        <v>0</v>
      </c>
      <c r="X19" s="4">
        <f>(((IF($M19=VALUE(RIGHT(X$2,4)),$J19,0)*((1+Assumptions!$B$19)^($M19-Assumptions!$B$18)))*(1+Assumptions!$B$20))*(1+(Assumptions!$B$21+Assumptions!$B$22)))*(1+Assumptions!$B$23)</f>
        <v>0</v>
      </c>
      <c r="Y19" s="4">
        <f>(((IF($M19=VALUE(RIGHT(Y$2,4)),$J19,0)*((1+Assumptions!$B$19)^($M19-Assumptions!$B$18)))*(1+Assumptions!$B$20))*(1+(Assumptions!$B$21+Assumptions!$B$22)))*(1+Assumptions!$B$23)</f>
        <v>0</v>
      </c>
      <c r="Z19" s="4">
        <f>(((IF($M19=VALUE(RIGHT(Z$2,4)),$J19,0)*((1+Assumptions!$B$19)^($M19-Assumptions!$B$18)))*(1+Assumptions!$B$20))*(1+(Assumptions!$B$21+Assumptions!$B$22)))*(1+Assumptions!$B$23)</f>
        <v>0</v>
      </c>
      <c r="AA19" s="4">
        <f>(((IF($M19=VALUE(RIGHT(AA$2,4)),$J19,0)*((1+Assumptions!$B$19)^($M19-Assumptions!$B$18)))*(1+Assumptions!$B$20))*(1+(Assumptions!$B$21+Assumptions!$B$22)))*(1+Assumptions!$B$23)</f>
        <v>0</v>
      </c>
      <c r="AB19" s="4">
        <f>(((IF($M19=VALUE(RIGHT(AB$2,4)),$J19,0)*((1+Assumptions!$B$19)^($M19-Assumptions!$B$18)))*(1+Assumptions!$B$20))*(1+(Assumptions!$B$21+Assumptions!$B$22)))*(1+Assumptions!$B$23)</f>
        <v>0</v>
      </c>
    </row>
    <row r="20" spans="1:28" s="7" customFormat="1" ht="36.75">
      <c r="A20" s="8">
        <v>157</v>
      </c>
      <c r="B20" s="7" t="s">
        <v>169</v>
      </c>
      <c r="C20" s="7" t="s">
        <v>173</v>
      </c>
      <c r="D20" s="6" t="s">
        <v>144</v>
      </c>
      <c r="E20" s="6" t="s">
        <v>141</v>
      </c>
      <c r="F20" s="52" t="s">
        <v>247</v>
      </c>
      <c r="G20" s="4">
        <f>LOOKUP(B20,'Heery Data'!$B$59:$B$77,'Heery Data'!$C$59:$C$77)</f>
        <v>0</v>
      </c>
      <c r="H20" s="4">
        <v>0</v>
      </c>
      <c r="I20" s="51">
        <v>0</v>
      </c>
      <c r="J20" s="50">
        <v>0</v>
      </c>
      <c r="K20" s="84"/>
      <c r="L20" s="4">
        <f>IF(F20="New",0,(G20*((1+Assumptions!$B$19)^($M20-Assumptions!$B$18))*(1+Assumptions!$B$20)*(1+(Assumptions!$B$21+Assumptions!$B$22))*(1+Assumptions!$B$23))-(J20*((1+Assumptions!$B$19)^($M20-Assumptions!$B$18))*(1+Assumptions!$B$20)*(1+(Assumptions!$B$21+Assumptions!$B$22))*(1+Assumptions!$B$23)))</f>
        <v>0</v>
      </c>
      <c r="M20" s="6">
        <v>2003</v>
      </c>
      <c r="N20" s="4">
        <f>(((IF($M20=VALUE(RIGHT(N$2,4)),$J20,0)*((1+Assumptions!$B$19)^($M20-Assumptions!$B$18)))*(1+Assumptions!$B$20))*(1+(Assumptions!$B$21+Assumptions!$B$22)))*(1+Assumptions!$B$23)</f>
        <v>0</v>
      </c>
      <c r="O20" s="4">
        <f>(((IF($M20=VALUE(RIGHT(O$2,4)),$J20,0)*((1+Assumptions!$B$19)^($M20-Assumptions!$B$18)))*(1+Assumptions!$B$20))*(1+(Assumptions!$B$21+Assumptions!$B$22)))*(1+Assumptions!$B$23)</f>
        <v>0</v>
      </c>
      <c r="P20" s="4">
        <f>(((IF($M20=VALUE(RIGHT(P$2,4)),$J20,0)*((1+Assumptions!$B$19)^($M20-Assumptions!$B$18)))*(1+Assumptions!$B$20))*(1+(Assumptions!$B$21+Assumptions!$B$22)))*(1+Assumptions!$B$23)</f>
        <v>0</v>
      </c>
      <c r="Q20" s="4">
        <f>(((IF($M20=VALUE(RIGHT(Q$2,4)),$J20,0)*((1+Assumptions!$B$19)^($M20-Assumptions!$B$18)))*(1+Assumptions!$B$20))*(1+(Assumptions!$B$21+Assumptions!$B$22)))*(1+Assumptions!$B$23)</f>
        <v>0</v>
      </c>
      <c r="R20" s="4">
        <f>(((IF($M20=VALUE(RIGHT(R$2,4)),$J20,0)*((1+Assumptions!$B$19)^($M20-Assumptions!$B$18)))*(1+Assumptions!$B$20))*(1+(Assumptions!$B$21+Assumptions!$B$22)))*(1+Assumptions!$B$23)</f>
        <v>0</v>
      </c>
      <c r="S20" s="4">
        <f>(((IF($M20=VALUE(RIGHT(S$2,4)),$J20,0)*((1+Assumptions!$B$19)^($M20-Assumptions!$B$18)))*(1+Assumptions!$B$20))*(1+(Assumptions!$B$21+Assumptions!$B$22)))*(1+Assumptions!$B$23)</f>
        <v>0</v>
      </c>
      <c r="T20" s="4">
        <f>(((IF($M20=VALUE(RIGHT(T$2,4)),$J20,0)*((1+Assumptions!$B$19)^($M20-Assumptions!$B$18)))*(1+Assumptions!$B$20))*(1+(Assumptions!$B$21+Assumptions!$B$22)))*(1+Assumptions!$B$23)</f>
        <v>0</v>
      </c>
      <c r="U20" s="4">
        <f>(((IF($M20=VALUE(RIGHT(U$2,4)),$J20,0)*((1+Assumptions!$B$19)^($M20-Assumptions!$B$18)))*(1+Assumptions!$B$20))*(1+(Assumptions!$B$21+Assumptions!$B$22)))*(1+Assumptions!$B$23)</f>
        <v>0</v>
      </c>
      <c r="V20" s="4">
        <f>(((IF($M20=VALUE(RIGHT(V$2,4)),$J20,0)*((1+Assumptions!$B$19)^($M20-Assumptions!$B$18)))*(1+Assumptions!$B$20))*(1+(Assumptions!$B$21+Assumptions!$B$22)))*(1+Assumptions!$B$23)</f>
        <v>0</v>
      </c>
      <c r="W20" s="4">
        <f>(((IF($M20=VALUE(RIGHT(W$2,4)),$J20,0)*((1+Assumptions!$B$19)^($M20-Assumptions!$B$18)))*(1+Assumptions!$B$20))*(1+(Assumptions!$B$21+Assumptions!$B$22)))*(1+Assumptions!$B$23)</f>
        <v>0</v>
      </c>
      <c r="X20" s="4">
        <f>(((IF($M20=VALUE(RIGHT(X$2,4)),$J20,0)*((1+Assumptions!$B$19)^($M20-Assumptions!$B$18)))*(1+Assumptions!$B$20))*(1+(Assumptions!$B$21+Assumptions!$B$22)))*(1+Assumptions!$B$23)</f>
        <v>0</v>
      </c>
      <c r="Y20" s="4">
        <f>(((IF($M20=VALUE(RIGHT(Y$2,4)),$J20,0)*((1+Assumptions!$B$19)^($M20-Assumptions!$B$18)))*(1+Assumptions!$B$20))*(1+(Assumptions!$B$21+Assumptions!$B$22)))*(1+Assumptions!$B$23)</f>
        <v>0</v>
      </c>
      <c r="Z20" s="4">
        <f>(((IF($M20=VALUE(RIGHT(Z$2,4)),$J20,0)*((1+Assumptions!$B$19)^($M20-Assumptions!$B$18)))*(1+Assumptions!$B$20))*(1+(Assumptions!$B$21+Assumptions!$B$22)))*(1+Assumptions!$B$23)</f>
        <v>0</v>
      </c>
      <c r="AA20" s="4">
        <f>(((IF($M20=VALUE(RIGHT(AA$2,4)),$J20,0)*((1+Assumptions!$B$19)^($M20-Assumptions!$B$18)))*(1+Assumptions!$B$20))*(1+(Assumptions!$B$21+Assumptions!$B$22)))*(1+Assumptions!$B$23)</f>
        <v>0</v>
      </c>
      <c r="AB20" s="4">
        <f>(((IF($M20=VALUE(RIGHT(AB$2,4)),$J20,0)*((1+Assumptions!$B$19)^($M20-Assumptions!$B$18)))*(1+Assumptions!$B$20))*(1+(Assumptions!$B$21+Assumptions!$B$22)))*(1+Assumptions!$B$23)</f>
        <v>0</v>
      </c>
    </row>
    <row r="21" spans="1:28" s="7" customFormat="1" ht="36.75">
      <c r="A21" s="8">
        <v>127</v>
      </c>
      <c r="B21" s="7" t="s">
        <v>166</v>
      </c>
      <c r="C21" s="7" t="s">
        <v>173</v>
      </c>
      <c r="D21" s="6" t="s">
        <v>144</v>
      </c>
      <c r="E21" s="6" t="s">
        <v>141</v>
      </c>
      <c r="F21" t="s">
        <v>57</v>
      </c>
      <c r="G21" s="4">
        <f>LOOKUP(B21,'Heery Data'!$B$59:$B$77,'Heery Data'!$C$59:$C$77)</f>
        <v>460151</v>
      </c>
      <c r="H21" s="4">
        <f>IF(F21="New",LOOKUP(D21,Assumptions!$A$12:$A$15,Assumptions!$B$12:$B$15)*LOOKUP(E21,Assumptions!$A$2:$A$9,Assumptions!$C$2:$C$9),0)</f>
        <v>0</v>
      </c>
      <c r="I21" s="51">
        <f>IF(F21="New",LOOKUP(E21,Assumptions!$A$2:$A$9,Assumptions!$B$2:$B$9),I21)</f>
        <v>0</v>
      </c>
      <c r="J21" s="50">
        <v>0</v>
      </c>
      <c r="K21" s="84"/>
      <c r="L21" s="4">
        <f>IF(F21="New",0,(G21*((1+Assumptions!$B$19)^($M21-Assumptions!$B$18))*(1+Assumptions!$B$20)*(1+(Assumptions!$B$21+Assumptions!$B$22))*(1+Assumptions!$B$23))-(J21*((1+Assumptions!$B$19)^($M21-Assumptions!$B$18))*(1+Assumptions!$B$20)*(1+(Assumptions!$B$21+Assumptions!$B$22))*(1+Assumptions!$B$23)))</f>
        <v>460151</v>
      </c>
      <c r="M21" s="6">
        <v>2005</v>
      </c>
      <c r="N21" s="4">
        <v>37543</v>
      </c>
      <c r="O21" s="4">
        <f>125753+90917</f>
        <v>216670</v>
      </c>
      <c r="P21" s="4">
        <v>80185</v>
      </c>
      <c r="Q21" s="4">
        <f>(((IF($M21=VALUE(RIGHT(Q$2,4)),$J21,0)*((1+Assumptions!$B$19)^($M21-Assumptions!$B$18)))*(1+Assumptions!$B$20))*(1+(Assumptions!$B$21+Assumptions!$B$22)))*(1+Assumptions!$B$23)</f>
        <v>0</v>
      </c>
      <c r="R21" s="4">
        <f>(((IF($M21=VALUE(RIGHT(R$2,4)),$J21,0)*((1+Assumptions!$B$19)^($M21-Assumptions!$B$18)))*(1+Assumptions!$B$20))*(1+(Assumptions!$B$21+Assumptions!$B$22)))*(1+Assumptions!$B$23)</f>
        <v>0</v>
      </c>
      <c r="S21" s="4">
        <f>(((IF($M21=VALUE(RIGHT(S$2,4)),$J21,0)*((1+Assumptions!$B$19)^($M21-Assumptions!$B$18)))*(1+Assumptions!$B$20))*(1+(Assumptions!$B$21+Assumptions!$B$22)))*(1+Assumptions!$B$23)</f>
        <v>0</v>
      </c>
      <c r="T21" s="4">
        <f>(((IF($M21=VALUE(RIGHT(T$2,4)),$J21,0)*((1+Assumptions!$B$19)^($M21-Assumptions!$B$18)))*(1+Assumptions!$B$20))*(1+(Assumptions!$B$21+Assumptions!$B$22)))*(1+Assumptions!$B$23)</f>
        <v>0</v>
      </c>
      <c r="U21" s="4">
        <f>(((IF($M21=VALUE(RIGHT(U$2,4)),$J21,0)*((1+Assumptions!$B$19)^($M21-Assumptions!$B$18)))*(1+Assumptions!$B$20))*(1+(Assumptions!$B$21+Assumptions!$B$22)))*(1+Assumptions!$B$23)</f>
        <v>0</v>
      </c>
      <c r="V21" s="4">
        <f>(((IF($M21=VALUE(RIGHT(V$2,4)),$J21,0)*((1+Assumptions!$B$19)^($M21-Assumptions!$B$18)))*(1+Assumptions!$B$20))*(1+(Assumptions!$B$21+Assumptions!$B$22)))*(1+Assumptions!$B$23)</f>
        <v>0</v>
      </c>
      <c r="W21" s="4">
        <f>(((IF($M21=VALUE(RIGHT(W$2,4)),$J21,0)*((1+Assumptions!$B$19)^($M21-Assumptions!$B$18)))*(1+Assumptions!$B$20))*(1+(Assumptions!$B$21+Assumptions!$B$22)))*(1+Assumptions!$B$23)</f>
        <v>0</v>
      </c>
      <c r="X21" s="4">
        <f>(((IF($M21=VALUE(RIGHT(X$2,4)),$J21,0)*((1+Assumptions!$B$19)^($M21-Assumptions!$B$18)))*(1+Assumptions!$B$20))*(1+(Assumptions!$B$21+Assumptions!$B$22)))*(1+Assumptions!$B$23)</f>
        <v>0</v>
      </c>
      <c r="Y21" s="4">
        <f>(((IF($M21=VALUE(RIGHT(Y$2,4)),$J21,0)*((1+Assumptions!$B$19)^($M21-Assumptions!$B$18)))*(1+Assumptions!$B$20))*(1+(Assumptions!$B$21+Assumptions!$B$22)))*(1+Assumptions!$B$23)</f>
        <v>0</v>
      </c>
      <c r="Z21" s="4">
        <f>(((IF($M21=VALUE(RIGHT(Z$2,4)),$J21,0)*((1+Assumptions!$B$19)^($M21-Assumptions!$B$18)))*(1+Assumptions!$B$20))*(1+(Assumptions!$B$21+Assumptions!$B$22)))*(1+Assumptions!$B$23)</f>
        <v>0</v>
      </c>
      <c r="AA21" s="4">
        <f>(((IF($M21=VALUE(RIGHT(AA$2,4)),$J21,0)*((1+Assumptions!$B$19)^($M21-Assumptions!$B$18)))*(1+Assumptions!$B$20))*(1+(Assumptions!$B$21+Assumptions!$B$22)))*(1+Assumptions!$B$23)</f>
        <v>0</v>
      </c>
      <c r="AB21" s="4">
        <f>(((IF($M21=VALUE(RIGHT(AB$2,4)),$J21,0)*((1+Assumptions!$B$19)^($M21-Assumptions!$B$18)))*(1+Assumptions!$B$20))*(1+(Assumptions!$B$21+Assumptions!$B$22)))*(1+Assumptions!$B$23)</f>
        <v>0</v>
      </c>
    </row>
    <row r="22" spans="1:28" s="7" customFormat="1" ht="36.75">
      <c r="A22" s="21">
        <v>117</v>
      </c>
      <c r="B22" s="67" t="s">
        <v>207</v>
      </c>
      <c r="C22" s="67" t="s">
        <v>173</v>
      </c>
      <c r="D22" s="68" t="s">
        <v>143</v>
      </c>
      <c r="E22" s="68" t="s">
        <v>150</v>
      </c>
      <c r="F22" s="13" t="s">
        <v>59</v>
      </c>
      <c r="G22" s="59">
        <f>LOOKUP(B22,'Heery Data'!$B$59:$B$77,'Heery Data'!$C$59:$C$77)</f>
        <v>150873</v>
      </c>
      <c r="H22" s="59">
        <v>0</v>
      </c>
      <c r="I22" s="60">
        <f>IF(F22="New",LOOKUP(E22,Assumptions!$A$2:$A$10,Assumptions!$B$2:$B$10),I22)</f>
        <v>731149</v>
      </c>
      <c r="J22" s="61">
        <f>IF(F22="New",LOOKUP(E22,Assumptions!$A$2:$A$10,Assumptions!$B$2:$B$10),#REF!)+H22</f>
        <v>731149</v>
      </c>
      <c r="K22" s="85"/>
      <c r="L22" s="59">
        <f>IF(F22="New",0,(G22*((1+Assumptions!$B$19)^($M22-Assumptions!$B$18))*(1+Assumptions!$B$20)*(1+(Assumptions!$B$21+Assumptions!$B$22))*(1+Assumptions!$B$23))-(J22*((1+Assumptions!$B$19)^($M22-Assumptions!$B$18))*(1+Assumptions!$B$20)*(1+(Assumptions!$B$21+Assumptions!$B$22))*(1+Assumptions!$B$23)))</f>
        <v>0</v>
      </c>
      <c r="M22" s="68">
        <v>2006</v>
      </c>
      <c r="N22" s="59">
        <v>32261</v>
      </c>
      <c r="O22" s="59">
        <f>80000+33294+35159+48400</f>
        <v>196853</v>
      </c>
      <c r="P22" s="59">
        <f>(((((IF($M22=VALUE(RIGHT(P$2,4)),$J22,0)*((1+Assumptions!$B$19)^($M22-Assumptions!$B$18)))*(1+Assumptions!$B$20))*(1+(Assumptions!$B$21+Assumptions!$B$22)))*(1+Assumptions!$B$23))-80000)+16865</f>
        <v>668014</v>
      </c>
      <c r="Q22" s="59">
        <f>(((IF($M22=VALUE(RIGHT(Q$2,4)),$J22,0)*((1+Assumptions!$B$19)^($M22-Assumptions!$B$18)))*(1+Assumptions!$B$20))*(1+(Assumptions!$B$21+Assumptions!$B$22)))*(1+Assumptions!$B$23)</f>
        <v>0</v>
      </c>
      <c r="R22" s="59">
        <f>(((IF($M22=VALUE(RIGHT(R$2,4)),$J22,0)*((1+Assumptions!$B$19)^($M22-Assumptions!$B$18)))*(1+Assumptions!$B$20))*(1+(Assumptions!$B$21+Assumptions!$B$22)))*(1+Assumptions!$B$23)</f>
        <v>0</v>
      </c>
      <c r="S22" s="59">
        <f>(((IF($M22=VALUE(RIGHT(S$2,4)),$J22,0)*((1+Assumptions!$B$19)^($M22-Assumptions!$B$18)))*(1+Assumptions!$B$20))*(1+(Assumptions!$B$21+Assumptions!$B$22)))*(1+Assumptions!$B$23)</f>
        <v>0</v>
      </c>
      <c r="T22" s="59">
        <f>(((IF($M22=VALUE(RIGHT(T$2,4)),$J22,0)*((1+Assumptions!$B$19)^($M22-Assumptions!$B$18)))*(1+Assumptions!$B$20))*(1+(Assumptions!$B$21+Assumptions!$B$22)))*(1+Assumptions!$B$23)</f>
        <v>0</v>
      </c>
      <c r="U22" s="59">
        <f>(((IF($M22=VALUE(RIGHT(U$2,4)),$J22,0)*((1+Assumptions!$B$19)^($M22-Assumptions!$B$18)))*(1+Assumptions!$B$20))*(1+(Assumptions!$B$21+Assumptions!$B$22)))*(1+Assumptions!$B$23)</f>
        <v>0</v>
      </c>
      <c r="V22" s="59">
        <f>(((IF($M22=VALUE(RIGHT(V$2,4)),$J22,0)*((1+Assumptions!$B$19)^($M22-Assumptions!$B$18)))*(1+Assumptions!$B$20))*(1+(Assumptions!$B$21+Assumptions!$B$22)))*(1+Assumptions!$B$23)</f>
        <v>0</v>
      </c>
      <c r="W22" s="59">
        <f>(((IF($M22=VALUE(RIGHT(W$2,4)),$J22,0)*((1+Assumptions!$B$19)^($M22-Assumptions!$B$18)))*(1+Assumptions!$B$20))*(1+(Assumptions!$B$21+Assumptions!$B$22)))*(1+Assumptions!$B$23)</f>
        <v>0</v>
      </c>
      <c r="X22" s="59">
        <f>(((IF($M22=VALUE(RIGHT(X$2,4)),$J22,0)*((1+Assumptions!$B$19)^($M22-Assumptions!$B$18)))*(1+Assumptions!$B$20))*(1+(Assumptions!$B$21+Assumptions!$B$22)))*(1+Assumptions!$B$23)</f>
        <v>0</v>
      </c>
      <c r="Y22" s="59">
        <f>(((IF($M22=VALUE(RIGHT(Y$2,4)),$J22,0)*((1+Assumptions!$B$19)^($M22-Assumptions!$B$18)))*(1+Assumptions!$B$20))*(1+(Assumptions!$B$21+Assumptions!$B$22)))*(1+Assumptions!$B$23)</f>
        <v>0</v>
      </c>
      <c r="Z22" s="59">
        <f>(((IF($M22=VALUE(RIGHT(Z$2,4)),$J22,0)*((1+Assumptions!$B$19)^($M22-Assumptions!$B$18)))*(1+Assumptions!$B$20))*(1+(Assumptions!$B$21+Assumptions!$B$22)))*(1+Assumptions!$B$23)</f>
        <v>0</v>
      </c>
      <c r="AA22" s="59">
        <f>(((IF($M22=VALUE(RIGHT(AA$2,4)),$J22,0)*((1+Assumptions!$B$19)^($M22-Assumptions!$B$18)))*(1+Assumptions!$B$20))*(1+(Assumptions!$B$21+Assumptions!$B$22)))*(1+Assumptions!$B$23)</f>
        <v>0</v>
      </c>
      <c r="AB22" s="59">
        <f>(((IF($M22=VALUE(RIGHT(AB$2,4)),$J22,0)*((1+Assumptions!$B$19)^($M22-Assumptions!$B$18)))*(1+Assumptions!$B$20))*(1+(Assumptions!$B$21+Assumptions!$B$22)))*(1+Assumptions!$B$23)</f>
        <v>0</v>
      </c>
    </row>
    <row r="23" spans="1:28" s="7" customFormat="1" ht="25.5">
      <c r="A23" s="76">
        <v>97</v>
      </c>
      <c r="B23" s="77" t="s">
        <v>73</v>
      </c>
      <c r="C23" s="77" t="s">
        <v>173</v>
      </c>
      <c r="D23" s="78" t="s">
        <v>143</v>
      </c>
      <c r="E23" s="78" t="s">
        <v>150</v>
      </c>
      <c r="F23" s="17" t="s">
        <v>59</v>
      </c>
      <c r="G23" s="61">
        <f>LOOKUP(B23,'Heery Data'!$B$59:$B$77,'Heery Data'!$C$59:$C$77)</f>
        <v>149267</v>
      </c>
      <c r="H23" s="61">
        <v>0</v>
      </c>
      <c r="I23" s="60">
        <f>IF(F23="New",LOOKUP(E23,Assumptions!$A$2:$A$10,Assumptions!$B$2:$B$10),I23)</f>
        <v>731149</v>
      </c>
      <c r="J23" s="61">
        <f>IF(F23="New",LOOKUP(E23,Assumptions!$A$2:$A$10,Assumptions!$B$2:$B$10),#REF!)+H23</f>
        <v>731149</v>
      </c>
      <c r="K23" s="85"/>
      <c r="L23" s="61">
        <f>IF(F23="New",0,(G23*((1+Assumptions!$B$19)^($M23-Assumptions!$B$18))*(1+Assumptions!$B$20)*(1+(Assumptions!$B$21+Assumptions!$B$22))*(1+Assumptions!$B$23))-(J23*((1+Assumptions!$B$19)^($M23-Assumptions!$B$18))*(1+Assumptions!$B$20)*(1+(Assumptions!$B$21+Assumptions!$B$22))*(1+Assumptions!$B$23)))</f>
        <v>0</v>
      </c>
      <c r="M23" s="78">
        <v>2008</v>
      </c>
      <c r="N23" s="61">
        <v>84863</v>
      </c>
      <c r="O23" s="61">
        <v>35159</v>
      </c>
      <c r="P23" s="61">
        <v>29245</v>
      </c>
      <c r="Q23" s="61">
        <v>80000</v>
      </c>
      <c r="R23" s="61">
        <f>J23-Q23</f>
        <v>651149</v>
      </c>
      <c r="S23" s="61">
        <f>(((IF($M23=VALUE(RIGHT(S$2,4)),$J23,0)*((1+Assumptions!$B$19)^($M23-Assumptions!$B$18)))*(1+Assumptions!$B$20))*(1+(Assumptions!$B$21+Assumptions!$B$22)))*(1+Assumptions!$B$23)</f>
        <v>0</v>
      </c>
      <c r="T23" s="61">
        <f>(((IF($M23=VALUE(RIGHT(T$2,4)),$J23,0)*((1+Assumptions!$B$19)^($M23-Assumptions!$B$18)))*(1+Assumptions!$B$20))*(1+(Assumptions!$B$21+Assumptions!$B$22)))*(1+Assumptions!$B$23)</f>
        <v>0</v>
      </c>
      <c r="U23" s="61">
        <f>(((IF($M23=VALUE(RIGHT(U$2,4)),$J23,0)*((1+Assumptions!$B$19)^($M23-Assumptions!$B$18)))*(1+Assumptions!$B$20))*(1+(Assumptions!$B$21+Assumptions!$B$22)))*(1+Assumptions!$B$23)</f>
        <v>0</v>
      </c>
      <c r="V23" s="61">
        <f>(((IF($M23=VALUE(RIGHT(V$2,4)),$J23,0)*((1+Assumptions!$B$19)^($M23-Assumptions!$B$18)))*(1+Assumptions!$B$20))*(1+(Assumptions!$B$21+Assumptions!$B$22)))*(1+Assumptions!$B$23)</f>
        <v>0</v>
      </c>
      <c r="W23" s="61">
        <f>(((IF($M23=VALUE(RIGHT(W$2,4)),$J23,0)*((1+Assumptions!$B$19)^($M23-Assumptions!$B$18)))*(1+Assumptions!$B$20))*(1+(Assumptions!$B$21+Assumptions!$B$22)))*(1+Assumptions!$B$23)</f>
        <v>0</v>
      </c>
      <c r="X23" s="61">
        <f>(((IF($M23=VALUE(RIGHT(X$2,4)),$J23,0)*((1+Assumptions!$B$19)^($M23-Assumptions!$B$18)))*(1+Assumptions!$B$20))*(1+(Assumptions!$B$21+Assumptions!$B$22)))*(1+Assumptions!$B$23)</f>
        <v>0</v>
      </c>
      <c r="Y23" s="61">
        <f>(((IF($M23=VALUE(RIGHT(Y$2,4)),$J23,0)*((1+Assumptions!$B$19)^($M23-Assumptions!$B$18)))*(1+Assumptions!$B$20))*(1+(Assumptions!$B$21+Assumptions!$B$22)))*(1+Assumptions!$B$23)</f>
        <v>0</v>
      </c>
      <c r="Z23" s="61">
        <f>(((IF($M23=VALUE(RIGHT(Z$2,4)),$J23,0)*((1+Assumptions!$B$19)^($M23-Assumptions!$B$18)))*(1+Assumptions!$B$20))*(1+(Assumptions!$B$21+Assumptions!$B$22)))*(1+Assumptions!$B$23)</f>
        <v>0</v>
      </c>
      <c r="AA23" s="61">
        <f>(((IF($M23=VALUE(RIGHT(AA$2,4)),$J23,0)*((1+Assumptions!$B$19)^($M23-Assumptions!$B$18)))*(1+Assumptions!$B$20))*(1+(Assumptions!$B$21+Assumptions!$B$22)))*(1+Assumptions!$B$23)</f>
        <v>0</v>
      </c>
      <c r="AB23" s="61">
        <f>(((IF($M23=VALUE(RIGHT(AB$2,4)),$J23,0)*((1+Assumptions!$B$19)^($M23-Assumptions!$B$18)))*(1+Assumptions!$B$20))*(1+(Assumptions!$B$21+Assumptions!$B$22)))*(1+Assumptions!$B$23)</f>
        <v>0</v>
      </c>
    </row>
    <row r="24" spans="1:28" s="7" customFormat="1" ht="63.75">
      <c r="A24" s="11"/>
      <c r="B24" s="12" t="s">
        <v>201</v>
      </c>
      <c r="C24" s="12"/>
      <c r="D24" s="79"/>
      <c r="E24" s="79"/>
      <c r="F24" s="74"/>
      <c r="G24" s="80"/>
      <c r="H24" s="80"/>
      <c r="I24" s="65"/>
      <c r="J24" s="80"/>
      <c r="K24" s="86"/>
      <c r="L24" s="80"/>
      <c r="M24" s="79"/>
      <c r="N24" s="80"/>
      <c r="O24" s="80"/>
      <c r="P24" s="80">
        <f>20*2500</f>
        <v>50000</v>
      </c>
      <c r="Q24" s="80"/>
      <c r="R24" s="80"/>
      <c r="S24" s="80"/>
      <c r="T24" s="80"/>
      <c r="U24" s="80"/>
      <c r="V24" s="80"/>
      <c r="W24" s="80"/>
      <c r="X24" s="80"/>
      <c r="Y24" s="80"/>
      <c r="Z24" s="80"/>
      <c r="AA24" s="80"/>
      <c r="AB24" s="80"/>
    </row>
    <row r="25" spans="1:28" s="7" customFormat="1" ht="12.75">
      <c r="A25" s="11"/>
      <c r="B25" s="12"/>
      <c r="C25" s="12"/>
      <c r="D25" s="79"/>
      <c r="E25" s="79"/>
      <c r="F25" s="74"/>
      <c r="G25" s="80"/>
      <c r="H25" s="80"/>
      <c r="I25" s="65"/>
      <c r="J25" s="80"/>
      <c r="K25" s="86"/>
      <c r="L25" s="80"/>
      <c r="M25" s="79"/>
      <c r="N25" s="80"/>
      <c r="O25" s="80"/>
      <c r="P25" s="80"/>
      <c r="Q25" s="80"/>
      <c r="R25" s="80"/>
      <c r="S25" s="80"/>
      <c r="T25" s="80"/>
      <c r="U25" s="80"/>
      <c r="V25" s="80"/>
      <c r="W25" s="80"/>
      <c r="X25" s="80"/>
      <c r="Y25" s="80"/>
      <c r="Z25" s="80"/>
      <c r="AA25" s="80"/>
      <c r="AB25" s="80"/>
    </row>
    <row r="26" spans="1:28" s="12" customFormat="1" ht="12.75">
      <c r="A26" s="11"/>
      <c r="D26" s="79"/>
      <c r="E26" s="79"/>
      <c r="F26" s="74"/>
      <c r="G26" s="80"/>
      <c r="H26" s="80"/>
      <c r="I26" s="81"/>
      <c r="J26" s="80"/>
      <c r="K26" s="86"/>
      <c r="L26" s="80"/>
      <c r="M26" s="79"/>
      <c r="N26" s="80"/>
      <c r="O26" s="80"/>
      <c r="P26" s="80"/>
      <c r="Q26" s="80"/>
      <c r="R26" s="80"/>
      <c r="S26" s="80"/>
      <c r="T26" s="80"/>
      <c r="U26" s="80"/>
      <c r="V26" s="80"/>
      <c r="W26" s="80"/>
      <c r="X26" s="80"/>
      <c r="Y26" s="80"/>
      <c r="Z26" s="80"/>
      <c r="AA26" s="80"/>
      <c r="AB26" s="80"/>
    </row>
    <row r="27" spans="1:28" s="19" customFormat="1" ht="13.5" thickBot="1">
      <c r="A27" s="99"/>
      <c r="B27" s="100"/>
      <c r="C27" s="100"/>
      <c r="D27" s="101"/>
      <c r="E27" s="101"/>
      <c r="F27" s="99"/>
      <c r="G27" s="102"/>
      <c r="H27" s="102"/>
      <c r="I27" s="102"/>
      <c r="J27" s="102"/>
      <c r="K27" s="103"/>
      <c r="L27" s="102"/>
      <c r="M27" s="101"/>
      <c r="N27" s="99"/>
      <c r="O27" s="99"/>
      <c r="P27" s="99"/>
      <c r="Q27" s="99"/>
      <c r="R27" s="99"/>
      <c r="S27" s="99"/>
      <c r="T27" s="99"/>
      <c r="U27" s="99"/>
      <c r="V27" s="99"/>
      <c r="W27" s="99"/>
      <c r="X27" s="99"/>
      <c r="Y27" s="99"/>
      <c r="Z27" s="99"/>
      <c r="AA27" s="99"/>
      <c r="AB27" s="99"/>
    </row>
    <row r="28" spans="2:28" s="95" customFormat="1" ht="13.5" thickTop="1">
      <c r="B28" s="96" t="s">
        <v>97</v>
      </c>
      <c r="C28" s="111" t="s">
        <v>230</v>
      </c>
      <c r="D28" s="112"/>
      <c r="E28" s="112"/>
      <c r="G28" s="97">
        <f>SUM(G3:G23)</f>
        <v>2339587</v>
      </c>
      <c r="H28" s="97">
        <f>SUM(H3:H23)</f>
        <v>407200</v>
      </c>
      <c r="I28" s="97">
        <f>SUM(I3:I23)</f>
        <v>3125364.724</v>
      </c>
      <c r="J28" s="97">
        <f>SUM(J3:J23)</f>
        <v>3532564.724</v>
      </c>
      <c r="K28" s="98"/>
      <c r="L28" s="97">
        <f>SUM(L3:L23)</f>
        <v>2039447</v>
      </c>
      <c r="M28" s="97"/>
      <c r="N28" s="97">
        <f aca="true" t="shared" si="0" ref="N28:AB28">SUM(N3:N23)</f>
        <v>726276</v>
      </c>
      <c r="O28" s="97">
        <f t="shared" si="0"/>
        <v>3085610</v>
      </c>
      <c r="P28" s="97">
        <f t="shared" si="0"/>
        <v>1847966</v>
      </c>
      <c r="Q28" s="97">
        <f t="shared" si="0"/>
        <v>80000</v>
      </c>
      <c r="R28" s="97">
        <f t="shared" si="0"/>
        <v>651149</v>
      </c>
      <c r="S28" s="97">
        <f t="shared" si="0"/>
        <v>0</v>
      </c>
      <c r="T28" s="97">
        <f t="shared" si="0"/>
        <v>248963.36200000002</v>
      </c>
      <c r="U28" s="97">
        <f t="shared" si="0"/>
        <v>248963.36200000002</v>
      </c>
      <c r="V28" s="97">
        <f t="shared" si="0"/>
        <v>0</v>
      </c>
      <c r="W28" s="97">
        <f t="shared" si="0"/>
        <v>0</v>
      </c>
      <c r="X28" s="97">
        <f t="shared" si="0"/>
        <v>0</v>
      </c>
      <c r="Y28" s="97">
        <f t="shared" si="0"/>
        <v>0</v>
      </c>
      <c r="Z28" s="97">
        <f t="shared" si="0"/>
        <v>0</v>
      </c>
      <c r="AA28" s="97">
        <f t="shared" si="0"/>
        <v>0</v>
      </c>
      <c r="AB28" s="97">
        <f t="shared" si="0"/>
        <v>0</v>
      </c>
    </row>
  </sheetData>
  <mergeCells count="2">
    <mergeCell ref="C28:E28"/>
    <mergeCell ref="A1:AB1"/>
  </mergeCells>
  <dataValidations count="1">
    <dataValidation type="list" allowBlank="1" showInputMessage="1" showErrorMessage="1" sqref="F3:F26">
      <formula1>Status</formula1>
    </dataValidation>
  </dataValidations>
  <printOptions/>
  <pageMargins left="0.75" right="0.75" top="1" bottom="1" header="0.5" footer="0.5"/>
  <pageSetup firstPageNumber="1" useFirstPageNumber="1" fitToHeight="1" fitToWidth="1" horizontalDpi="600" verticalDpi="600" orientation="landscape" paperSize="17" scale="70" r:id="rId1"/>
  <headerFooter alignWithMargins="0">
    <oddHeader>&amp;LWake County, NC
Fire/EMS Capital Facilities and Equipment Study&amp;RInsert for Chapter VI,  Cost Allocation Models</oddHeader>
    <oddFooter>&amp;LTriData
&amp;8A division of System Planning Corporation&amp;RNovember 2003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257"/>
  <sheetViews>
    <sheetView view="pageBreakPreview" zoomScaleSheetLayoutView="100" workbookViewId="0" topLeftCell="A1">
      <selection activeCell="A1" sqref="A1:AB1"/>
    </sheetView>
  </sheetViews>
  <sheetFormatPr defaultColWidth="9.140625" defaultRowHeight="12.75"/>
  <cols>
    <col min="1" max="1" width="5.28125" style="0" bestFit="1" customWidth="1"/>
    <col min="2" max="2" width="31.57421875" style="52" customWidth="1"/>
    <col min="3" max="3" width="15.421875" style="52" bestFit="1" customWidth="1"/>
    <col min="4" max="4" width="4.8515625" style="3" hidden="1" customWidth="1"/>
    <col min="5" max="5" width="10.28125" style="3" customWidth="1"/>
    <col min="6" max="6" width="8.57421875" style="0" bestFit="1" customWidth="1"/>
    <col min="7" max="7" width="12.8515625" style="4" hidden="1" customWidth="1"/>
    <col min="8" max="8" width="13.8515625" style="4" bestFit="1" customWidth="1"/>
    <col min="9" max="9" width="14.140625" style="4" bestFit="1" customWidth="1"/>
    <col min="10" max="10" width="16.00390625" style="4" bestFit="1" customWidth="1"/>
    <col min="11" max="11" width="14.140625" style="87" bestFit="1" customWidth="1"/>
    <col min="12" max="12" width="12.28125" style="4" bestFit="1" customWidth="1"/>
    <col min="13" max="13" width="14.140625" style="3" customWidth="1"/>
    <col min="14" max="15" width="11.28125" style="0" bestFit="1" customWidth="1"/>
    <col min="16" max="16" width="11.7109375" style="0" bestFit="1" customWidth="1"/>
    <col min="17" max="17" width="11.28125" style="0" bestFit="1" customWidth="1"/>
    <col min="18" max="18" width="11.7109375" style="0" bestFit="1" customWidth="1"/>
    <col min="19" max="19" width="13.140625" style="0" customWidth="1"/>
    <col min="20" max="20" width="11.7109375" style="0" bestFit="1" customWidth="1"/>
    <col min="21" max="21" width="9.7109375" style="0" bestFit="1" customWidth="1"/>
    <col min="22" max="24" width="11.28125" style="0" bestFit="1" customWidth="1"/>
    <col min="25" max="28" width="8.00390625" style="0" bestFit="1" customWidth="1"/>
  </cols>
  <sheetData>
    <row r="1" spans="1:28" ht="27.75" customHeight="1">
      <c r="A1" s="113" t="s">
        <v>258</v>
      </c>
      <c r="B1" s="113"/>
      <c r="C1" s="113"/>
      <c r="D1" s="113"/>
      <c r="E1" s="113"/>
      <c r="F1" s="113"/>
      <c r="G1" s="113"/>
      <c r="H1" s="113"/>
      <c r="I1" s="113"/>
      <c r="J1" s="113"/>
      <c r="K1" s="113"/>
      <c r="L1" s="113"/>
      <c r="M1" s="113"/>
      <c r="N1" s="114"/>
      <c r="O1" s="114"/>
      <c r="P1" s="114"/>
      <c r="Q1" s="114"/>
      <c r="R1" s="114"/>
      <c r="S1" s="114"/>
      <c r="T1" s="114"/>
      <c r="U1" s="114"/>
      <c r="V1" s="114"/>
      <c r="W1" s="114"/>
      <c r="X1" s="114"/>
      <c r="Y1" s="114"/>
      <c r="Z1" s="114"/>
      <c r="AA1" s="114"/>
      <c r="AB1" s="114"/>
    </row>
    <row r="2" spans="1:28" s="94" customFormat="1" ht="51.75" customHeight="1">
      <c r="A2" s="91" t="s">
        <v>68</v>
      </c>
      <c r="B2" s="91" t="s">
        <v>0</v>
      </c>
      <c r="C2" s="91" t="s">
        <v>171</v>
      </c>
      <c r="D2" s="91" t="s">
        <v>100</v>
      </c>
      <c r="E2" s="91" t="s">
        <v>243</v>
      </c>
      <c r="F2" s="91" t="s">
        <v>1</v>
      </c>
      <c r="G2" s="92" t="s">
        <v>2</v>
      </c>
      <c r="H2" s="92" t="s">
        <v>244</v>
      </c>
      <c r="I2" s="92" t="s">
        <v>245</v>
      </c>
      <c r="J2" s="92" t="s">
        <v>185</v>
      </c>
      <c r="K2" s="93" t="s">
        <v>246</v>
      </c>
      <c r="L2" s="92" t="s">
        <v>135</v>
      </c>
      <c r="M2" s="91" t="s">
        <v>250</v>
      </c>
      <c r="N2" s="91" t="s">
        <v>3</v>
      </c>
      <c r="O2" s="91" t="s">
        <v>4</v>
      </c>
      <c r="P2" s="91" t="s">
        <v>5</v>
      </c>
      <c r="Q2" s="91" t="s">
        <v>6</v>
      </c>
      <c r="R2" s="91" t="s">
        <v>7</v>
      </c>
      <c r="S2" s="91" t="s">
        <v>8</v>
      </c>
      <c r="T2" s="91" t="s">
        <v>9</v>
      </c>
      <c r="U2" s="91" t="s">
        <v>10</v>
      </c>
      <c r="V2" s="91" t="s">
        <v>11</v>
      </c>
      <c r="W2" s="91" t="s">
        <v>12</v>
      </c>
      <c r="X2" s="91" t="s">
        <v>13</v>
      </c>
      <c r="Y2" s="91" t="s">
        <v>14</v>
      </c>
      <c r="Z2" s="91" t="s">
        <v>15</v>
      </c>
      <c r="AA2" s="91" t="s">
        <v>16</v>
      </c>
      <c r="AB2" s="91" t="s">
        <v>17</v>
      </c>
    </row>
    <row r="3" spans="1:28" ht="12.75">
      <c r="A3" s="25">
        <v>4</v>
      </c>
      <c r="B3" s="52" t="s">
        <v>18</v>
      </c>
      <c r="C3" s="52" t="s">
        <v>172</v>
      </c>
      <c r="D3" s="3" t="s">
        <v>142</v>
      </c>
      <c r="E3" s="3" t="s">
        <v>139</v>
      </c>
      <c r="F3" t="s">
        <v>56</v>
      </c>
      <c r="G3" s="4">
        <f>LOOKUP(B3,'Heery Data'!$B$3:$B$52,'Heery Data'!$C$3:$C$52)</f>
        <v>2824561</v>
      </c>
      <c r="H3" s="4">
        <f>IF(F3="New",LOOKUP(D3,Assumptions!$A$12:$A$15,Assumptions!$B$12:$B$15)*LOOKUP(E3,Assumptions!$A$2:$A$9,Assumptions!$C$2:$C$9),0)</f>
        <v>0</v>
      </c>
      <c r="I3" s="51">
        <f>IF(F3="New",LOOKUP(E3,Assumptions!$A$2:$A$9,Assumptions!$B$2:$B$9),I3)</f>
        <v>0</v>
      </c>
      <c r="J3" s="50">
        <v>0</v>
      </c>
      <c r="K3" s="84"/>
      <c r="L3" s="4">
        <f>IF(F3="New",0,(G3*((1+Assumptions!$B$19)^($M3-Assumptions!$B$18))*(1+Assumptions!$B$20)*(1+(Assumptions!$B$21+Assumptions!$B$22))*(1+Assumptions!$B$23))-(J3*((1+Assumptions!$B$19)^($M3-Assumptions!$B$18))*(1+Assumptions!$B$20)*(1+(Assumptions!$B$21+Assumptions!$B$22))*(1+Assumptions!$B$23)))</f>
        <v>2824561</v>
      </c>
      <c r="M3" s="3">
        <v>2004</v>
      </c>
      <c r="N3" s="4">
        <v>4688</v>
      </c>
      <c r="O3" s="4">
        <f>145613+373794</f>
        <v>519407</v>
      </c>
      <c r="P3" s="4">
        <f>126005+1666</f>
        <v>127671</v>
      </c>
      <c r="Q3" s="4">
        <f>(((IF($M3=VALUE(RIGHT(Q$2,4)),$J3,0)*((1+Assumptions!$B$19)^($M3-Assumptions!$B$18)))*(1+Assumptions!$B$20))*(1+(Assumptions!$B$21+Assumptions!$B$22)))*(1+Assumptions!$B$23)</f>
        <v>0</v>
      </c>
      <c r="R3" s="4">
        <f>(((IF($M3=VALUE(RIGHT(R$2,4)),$J3,0)*((1+Assumptions!$B$19)^($M3-Assumptions!$B$18)))*(1+Assumptions!$B$20))*(1+(Assumptions!$B$21+Assumptions!$B$22)))*(1+Assumptions!$B$23)</f>
        <v>0</v>
      </c>
      <c r="S3" s="4">
        <f>(((IF($M3=VALUE(RIGHT(S$2,4)),$J3,0)*((1+Assumptions!$B$19)^($M3-Assumptions!$B$18)))*(1+Assumptions!$B$20))*(1+(Assumptions!$B$21+Assumptions!$B$22)))*(1+Assumptions!$B$23)</f>
        <v>0</v>
      </c>
      <c r="T3" s="4">
        <f>(((IF($M3=VALUE(RIGHT(T$2,4)),$J3,0)*((1+Assumptions!$B$19)^($M3-Assumptions!$B$18)))*(1+Assumptions!$B$20))*(1+(Assumptions!$B$21+Assumptions!$B$22)))*(1+Assumptions!$B$23)</f>
        <v>0</v>
      </c>
      <c r="U3" s="4">
        <f>(((IF($M3=VALUE(RIGHT(U$2,4)),$J3,0)*((1+Assumptions!$B$19)^($M3-Assumptions!$B$18)))*(1+Assumptions!$B$20))*(1+(Assumptions!$B$21+Assumptions!$B$22)))*(1+Assumptions!$B$23)</f>
        <v>0</v>
      </c>
      <c r="V3" s="4">
        <f>(((IF($M3=VALUE(RIGHT(V$2,4)),$J3,0)*((1+Assumptions!$B$19)^($M3-Assumptions!$B$18)))*(1+Assumptions!$B$20))*(1+(Assumptions!$B$21+Assumptions!$B$22)))*(1+Assumptions!$B$23)</f>
        <v>0</v>
      </c>
      <c r="W3" s="4">
        <f>(((IF($M3=VALUE(RIGHT(W$2,4)),$J3,0)*((1+Assumptions!$B$19)^($M3-Assumptions!$B$18)))*(1+Assumptions!$B$20))*(1+(Assumptions!$B$21+Assumptions!$B$22)))*(1+Assumptions!$B$23)</f>
        <v>0</v>
      </c>
      <c r="X3" s="4">
        <f>(((IF($M3=VALUE(RIGHT(X$2,4)),$J3,0)*((1+Assumptions!$B$19)^($M3-Assumptions!$B$18)))*(1+Assumptions!$B$20))*(1+(Assumptions!$B$21+Assumptions!$B$22)))*(1+Assumptions!$B$23)</f>
        <v>0</v>
      </c>
      <c r="Y3" s="4">
        <f>(((IF($M3=VALUE(RIGHT(Y$2,4)),$J3,0)*((1+Assumptions!$B$19)^($M3-Assumptions!$B$18)))*(1+Assumptions!$B$20))*(1+(Assumptions!$B$21+Assumptions!$B$22)))*(1+Assumptions!$B$23)</f>
        <v>0</v>
      </c>
      <c r="Z3" s="4">
        <f>(((IF($M3=VALUE(RIGHT(Z$2,4)),$J3,0)*((1+Assumptions!$B$19)^($M3-Assumptions!$B$18)))*(1+Assumptions!$B$20))*(1+(Assumptions!$B$21+Assumptions!$B$22)))*(1+Assumptions!$B$23)</f>
        <v>0</v>
      </c>
      <c r="AA3" s="4">
        <f>(((IF($M3=VALUE(RIGHT(AA$2,4)),$J3,0)*((1+Assumptions!$B$19)^($M3-Assumptions!$B$18)))*(1+Assumptions!$B$20))*(1+(Assumptions!$B$21+Assumptions!$B$22)))*(1+Assumptions!$B$23)</f>
        <v>0</v>
      </c>
      <c r="AB3" s="4">
        <f>(((IF($M3=VALUE(RIGHT(AB$2,4)),$J3,0)*((1+Assumptions!$B$19)^($M3-Assumptions!$B$18)))*(1+Assumptions!$B$20))*(1+(Assumptions!$B$21+Assumptions!$B$22)))*(1+Assumptions!$B$23)</f>
        <v>0</v>
      </c>
    </row>
    <row r="4" spans="1:28" ht="12.75">
      <c r="A4" s="25">
        <v>4</v>
      </c>
      <c r="B4" s="62" t="s">
        <v>151</v>
      </c>
      <c r="C4" s="62" t="s">
        <v>172</v>
      </c>
      <c r="D4" s="63" t="s">
        <v>142</v>
      </c>
      <c r="E4" s="63" t="s">
        <v>139</v>
      </c>
      <c r="F4" s="25" t="s">
        <v>59</v>
      </c>
      <c r="G4" s="64">
        <v>0</v>
      </c>
      <c r="H4" s="64">
        <v>400000</v>
      </c>
      <c r="I4" s="51">
        <f>IF(F4="New",LOOKUP(E4,Assumptions!$A$2:$A$9,Assumptions!$B$2:$B$9),I4)</f>
        <v>1424020</v>
      </c>
      <c r="J4" s="50">
        <f>IF(F4="New",LOOKUP(E4,Assumptions!$A$2:$A$9,Assumptions!$B$2:$B$9),#REF!)+H4</f>
        <v>1824020</v>
      </c>
      <c r="K4" s="84">
        <v>386144</v>
      </c>
      <c r="L4" s="64">
        <f>IF(F4="New",0,(G4*((1+Assumptions!$B$19)^($M4-Assumptions!$B$18))*(1+Assumptions!$B$20)*(1+(Assumptions!$B$21+Assumptions!$B$22))*(1+Assumptions!$B$23))-(J4*((1+Assumptions!$B$19)^($M4-Assumptions!$B$18))*(1+Assumptions!$B$20)*(1+(Assumptions!$B$21+Assumptions!$B$22))*(1+Assumptions!$B$23)))</f>
        <v>0</v>
      </c>
      <c r="M4" s="63">
        <v>2010</v>
      </c>
      <c r="N4" s="4">
        <f>(((IF($M4=VALUE(RIGHT(N$2,4)),$J4,0)*((1+Assumptions!$B$19)^($M4-Assumptions!$B$18)))*(1+Assumptions!$B$20))*(1+(Assumptions!$B$21+Assumptions!$B$22)))*(1+Assumptions!$B$23)</f>
        <v>0</v>
      </c>
      <c r="O4" s="4">
        <f>(((IF($M4=VALUE(RIGHT(O$2,4)),$J4,0)*((1+Assumptions!$B$19)^($M4-Assumptions!$B$18)))*(1+Assumptions!$B$20))*(1+(Assumptions!$B$21+Assumptions!$B$22)))*(1+Assumptions!$B$23)</f>
        <v>0</v>
      </c>
      <c r="P4" s="4"/>
      <c r="Q4" s="4">
        <f>(((IF($M4=VALUE(RIGHT(Q$2,4)),$J4,0)*((1+Assumptions!$B$19)^($M4-Assumptions!$B$18)))*(1+Assumptions!$B$20))*(1+(Assumptions!$B$21+Assumptions!$B$22)))*(1+Assumptions!$B$23)</f>
        <v>0</v>
      </c>
      <c r="R4" s="4">
        <f>(((IF($M4=VALUE(RIGHT(R$2,4)),$J4,0)*((1+Assumptions!$B$19)^($M4-Assumptions!$B$18)))*(1+Assumptions!$B$20))*(1+(Assumptions!$B$21+Assumptions!$B$22)))*(1+Assumptions!$B$23)</f>
        <v>0</v>
      </c>
      <c r="S4" s="4">
        <f>K4/2</f>
        <v>193072</v>
      </c>
      <c r="T4" s="4">
        <f>K4/2</f>
        <v>193072</v>
      </c>
      <c r="U4" s="4">
        <f>(((IF($M4=VALUE(RIGHT(U$2,4)),$J4,0)*((1+Assumptions!$B$19)^($M4-Assumptions!$B$18)))*(1+Assumptions!$B$20))*(1+(Assumptions!$B$21+Assumptions!$B$22)))*(1+Assumptions!$B$23)</f>
        <v>0</v>
      </c>
      <c r="V4" s="4">
        <f>(((IF($M4=VALUE(RIGHT(V$2,4)),$J4,0)*((1+Assumptions!$B$19)^($M4-Assumptions!$B$18)))*(1+Assumptions!$B$20))*(1+(Assumptions!$B$21+Assumptions!$B$22)))*(1+Assumptions!$B$23)</f>
        <v>0</v>
      </c>
      <c r="W4" s="4">
        <f>(((IF($M4=VALUE(RIGHT(W$2,4)),$J4,0)*((1+Assumptions!$B$19)^($M4-Assumptions!$B$18)))*(1+Assumptions!$B$20))*(1+(Assumptions!$B$21+Assumptions!$B$22)))*(1+Assumptions!$B$23)</f>
        <v>0</v>
      </c>
      <c r="X4" s="4">
        <f>(((IF($M4=VALUE(RIGHT(X$2,4)),$J4,0)*((1+Assumptions!$B$19)^($M4-Assumptions!$B$18)))*(1+Assumptions!$B$20))*(1+(Assumptions!$B$21+Assumptions!$B$22)))*(1+Assumptions!$B$23)</f>
        <v>0</v>
      </c>
      <c r="Y4" s="4">
        <f>(((IF($M4=VALUE(RIGHT(Y$2,4)),$J4,0)*((1+Assumptions!$B$19)^($M4-Assumptions!$B$18)))*(1+Assumptions!$B$20))*(1+(Assumptions!$B$21+Assumptions!$B$22)))*(1+Assumptions!$B$23)</f>
        <v>0</v>
      </c>
      <c r="Z4" s="4">
        <f>(((IF($M4=VALUE(RIGHT(Z$2,4)),$J4,0)*((1+Assumptions!$B$19)^($M4-Assumptions!$B$18)))*(1+Assumptions!$B$20))*(1+(Assumptions!$B$21+Assumptions!$B$22)))*(1+Assumptions!$B$23)</f>
        <v>0</v>
      </c>
      <c r="AA4" s="4">
        <f>(((IF($M4=VALUE(RIGHT(AA$2,4)),$J4,0)*((1+Assumptions!$B$19)^($M4-Assumptions!$B$18)))*(1+Assumptions!$B$20))*(1+(Assumptions!$B$21+Assumptions!$B$22)))*(1+Assumptions!$B$23)</f>
        <v>0</v>
      </c>
      <c r="AB4" s="4">
        <f>(((IF($M4=VALUE(RIGHT(AB$2,4)),$J4,0)*((1+Assumptions!$B$19)^($M4-Assumptions!$B$18)))*(1+Assumptions!$B$20))*(1+(Assumptions!$B$21+Assumptions!$B$22)))*(1+Assumptions!$B$23)</f>
        <v>0</v>
      </c>
    </row>
    <row r="5" spans="1:28" ht="12.75">
      <c r="A5" s="25">
        <v>40</v>
      </c>
      <c r="B5" s="52" t="s">
        <v>19</v>
      </c>
      <c r="C5" s="52" t="s">
        <v>172</v>
      </c>
      <c r="D5" s="3" t="s">
        <v>142</v>
      </c>
      <c r="E5" s="3" t="s">
        <v>139</v>
      </c>
      <c r="F5" t="s">
        <v>60</v>
      </c>
      <c r="G5" s="4">
        <f>LOOKUP(B5,'Heery Data'!$B$3:$B$52,'Heery Data'!$C$3:$C$52)</f>
        <v>1458765</v>
      </c>
      <c r="H5" s="4">
        <f>IF(F5="New",LOOKUP(D5,Assumptions!$A$12:$A$15,Assumptions!$B$12:$B$15)*LOOKUP(E5,Assumptions!$A$2:$A$9,Assumptions!$C$2:$C$9),0)</f>
        <v>0</v>
      </c>
      <c r="I5" s="51">
        <f>IF(F5="New",LOOKUP(E5,Assumptions!$A$2:$A$9,Assumptions!$B$2:$B$9),I5)</f>
        <v>0</v>
      </c>
      <c r="J5" s="50"/>
      <c r="K5" s="84"/>
      <c r="L5" s="4">
        <f>IF(F5="New",0,(G5*((1+Assumptions!$B$19)^($M5-Assumptions!$B$18))*(1+Assumptions!$B$20)*(1+(Assumptions!$B$21+Assumptions!$B$22))*(1+Assumptions!$B$23))-(J5*((1+Assumptions!$B$19)^($M5-Assumptions!$B$18))*(1+Assumptions!$B$20)*(1+(Assumptions!$B$21+Assumptions!$B$22))*(1+Assumptions!$B$23)))</f>
        <v>1458765</v>
      </c>
      <c r="M5" s="3">
        <v>2005</v>
      </c>
      <c r="N5" s="4">
        <v>3515</v>
      </c>
      <c r="O5" s="4">
        <f>13253+446063</f>
        <v>459316</v>
      </c>
      <c r="P5" s="4">
        <f>85235+5533</f>
        <v>90768</v>
      </c>
      <c r="Q5" s="4">
        <f>(((IF($M5=VALUE(RIGHT(Q$2,4)),$J5,0)*((1+Assumptions!$B$19)^($M5-Assumptions!$B$18)))*(1+Assumptions!$B$20))*(1+(Assumptions!$B$21+Assumptions!$B$22)))*(1+Assumptions!$B$23)</f>
        <v>0</v>
      </c>
      <c r="R5" s="4">
        <f>(((IF($M5=VALUE(RIGHT(R$2,4)),$J5,0)*((1+Assumptions!$B$19)^($M5-Assumptions!$B$18)))*(1+Assumptions!$B$20))*(1+(Assumptions!$B$21+Assumptions!$B$22)))*(1+Assumptions!$B$23)</f>
        <v>0</v>
      </c>
      <c r="S5" s="4">
        <f>(((IF($M5=VALUE(RIGHT(S$2,4)),$J5,0)*((1+Assumptions!$B$19)^($M5-Assumptions!$B$18)))*(1+Assumptions!$B$20))*(1+(Assumptions!$B$21+Assumptions!$B$22)))*(1+Assumptions!$B$23)</f>
        <v>0</v>
      </c>
      <c r="T5" s="4">
        <f>(((IF($M5=VALUE(RIGHT(T$2,4)),$J5,0)*((1+Assumptions!$B$19)^($M5-Assumptions!$B$18)))*(1+Assumptions!$B$20))*(1+(Assumptions!$B$21+Assumptions!$B$22)))*(1+Assumptions!$B$23)</f>
        <v>0</v>
      </c>
      <c r="U5" s="4">
        <f>(((IF($M5=VALUE(RIGHT(U$2,4)),$J5,0)*((1+Assumptions!$B$19)^($M5-Assumptions!$B$18)))*(1+Assumptions!$B$20))*(1+(Assumptions!$B$21+Assumptions!$B$22)))*(1+Assumptions!$B$23)</f>
        <v>0</v>
      </c>
      <c r="V5" s="4">
        <f>(((IF($M5=VALUE(RIGHT(V$2,4)),$J5,0)*((1+Assumptions!$B$19)^($M5-Assumptions!$B$18)))*(1+Assumptions!$B$20))*(1+(Assumptions!$B$21+Assumptions!$B$22)))*(1+Assumptions!$B$23)</f>
        <v>0</v>
      </c>
      <c r="W5" s="4">
        <f>(((IF($M5=VALUE(RIGHT(W$2,4)),$J5,0)*((1+Assumptions!$B$19)^($M5-Assumptions!$B$18)))*(1+Assumptions!$B$20))*(1+(Assumptions!$B$21+Assumptions!$B$22)))*(1+Assumptions!$B$23)</f>
        <v>0</v>
      </c>
      <c r="X5" s="4">
        <f>(((IF($M5=VALUE(RIGHT(X$2,4)),$J5,0)*((1+Assumptions!$B$19)^($M5-Assumptions!$B$18)))*(1+Assumptions!$B$20))*(1+(Assumptions!$B$21+Assumptions!$B$22)))*(1+Assumptions!$B$23)</f>
        <v>0</v>
      </c>
      <c r="Y5" s="4">
        <f>(((IF($M5=VALUE(RIGHT(Y$2,4)),$J5,0)*((1+Assumptions!$B$19)^($M5-Assumptions!$B$18)))*(1+Assumptions!$B$20))*(1+(Assumptions!$B$21+Assumptions!$B$22)))*(1+Assumptions!$B$23)</f>
        <v>0</v>
      </c>
      <c r="Z5" s="4">
        <f>(((IF($M5=VALUE(RIGHT(Z$2,4)),$J5,0)*((1+Assumptions!$B$19)^($M5-Assumptions!$B$18)))*(1+Assumptions!$B$20))*(1+(Assumptions!$B$21+Assumptions!$B$22)))*(1+Assumptions!$B$23)</f>
        <v>0</v>
      </c>
      <c r="AA5" s="4">
        <f>(((IF($M5=VALUE(RIGHT(AA$2,4)),$J5,0)*((1+Assumptions!$B$19)^($M5-Assumptions!$B$18)))*(1+Assumptions!$B$20))*(1+(Assumptions!$B$21+Assumptions!$B$22)))*(1+Assumptions!$B$23)</f>
        <v>0</v>
      </c>
      <c r="AB5" s="4">
        <f>(((IF($M5=VALUE(RIGHT(AB$2,4)),$J5,0)*((1+Assumptions!$B$19)^($M5-Assumptions!$B$18)))*(1+Assumptions!$B$20))*(1+(Assumptions!$B$21+Assumptions!$B$22)))*(1+Assumptions!$B$23)</f>
        <v>0</v>
      </c>
    </row>
    <row r="6" spans="1:28" ht="12.75">
      <c r="A6" s="8">
        <v>44</v>
      </c>
      <c r="B6" s="52" t="s">
        <v>20</v>
      </c>
      <c r="C6" s="52" t="s">
        <v>172</v>
      </c>
      <c r="D6" s="3" t="s">
        <v>142</v>
      </c>
      <c r="E6" s="3" t="s">
        <v>138</v>
      </c>
      <c r="F6" t="s">
        <v>60</v>
      </c>
      <c r="G6" s="4">
        <f>LOOKUP(B6,'Heery Data'!$B$3:$B$52,'Heery Data'!$C$3:$C$52)</f>
        <v>0</v>
      </c>
      <c r="H6" s="4">
        <f>IF(F6="New",LOOKUP(D6,Assumptions!$A$12:$A$15,Assumptions!$B$12:$B$15)*LOOKUP(E6,Assumptions!$A$2:$A$9,Assumptions!$C$2:$C$9),0)</f>
        <v>0</v>
      </c>
      <c r="I6" s="51">
        <f>IF(F6="New",LOOKUP(E6,Assumptions!$A$2:$A$9,Assumptions!$B$2:$B$9),I6)</f>
        <v>0</v>
      </c>
      <c r="J6" s="50">
        <v>0</v>
      </c>
      <c r="K6" s="84"/>
      <c r="L6" s="4">
        <f>IF(F6="New",0,(G6*((1+Assumptions!$B$19)^($M6-Assumptions!$B$18))*(1+Assumptions!$B$20)*(1+(Assumptions!$B$21+Assumptions!$B$22))*(1+Assumptions!$B$23))-(J6*((1+Assumptions!$B$19)^($M6-Assumptions!$B$18))*(1+Assumptions!$B$20)*(1+(Assumptions!$B$21+Assumptions!$B$22))*(1+Assumptions!$B$23)))</f>
        <v>0</v>
      </c>
      <c r="M6" s="3">
        <v>2005</v>
      </c>
      <c r="N6" s="4">
        <f>(((IF($M6=VALUE(RIGHT(N$2,4)),$J6,0)*((1+Assumptions!$B$19)^($M6-Assumptions!$B$18)))*(1+Assumptions!$B$20))*(1+(Assumptions!$B$21+Assumptions!$B$22)))*(1+Assumptions!$B$23)</f>
        <v>0</v>
      </c>
      <c r="O6" s="4">
        <v>0</v>
      </c>
      <c r="P6" s="4">
        <f>(((IF($M6=VALUE(RIGHT(P$2,4)),$J6,0)*((1+Assumptions!$B$19)^($M6-Assumptions!$B$18)))*(1+Assumptions!$B$20))*(1+(Assumptions!$B$21+Assumptions!$B$22)))*(1+Assumptions!$B$23)</f>
        <v>0</v>
      </c>
      <c r="Q6" s="4">
        <f>(((IF($M6=VALUE(RIGHT(Q$2,4)),$J6,0)*((1+Assumptions!$B$19)^($M6-Assumptions!$B$18)))*(1+Assumptions!$B$20))*(1+(Assumptions!$B$21+Assumptions!$B$22)))*(1+Assumptions!$B$23)</f>
        <v>0</v>
      </c>
      <c r="R6" s="4">
        <f>(((IF($M6=VALUE(RIGHT(R$2,4)),$J6,0)*((1+Assumptions!$B$19)^($M6-Assumptions!$B$18)))*(1+Assumptions!$B$20))*(1+(Assumptions!$B$21+Assumptions!$B$22)))*(1+Assumptions!$B$23)</f>
        <v>0</v>
      </c>
      <c r="S6" s="4">
        <f>(((IF($M6=VALUE(RIGHT(S$2,4)),$J6,0)*((1+Assumptions!$B$19)^($M6-Assumptions!$B$18)))*(1+Assumptions!$B$20))*(1+(Assumptions!$B$21+Assumptions!$B$22)))*(1+Assumptions!$B$23)</f>
        <v>0</v>
      </c>
      <c r="T6" s="4">
        <f>(((IF($M6=VALUE(RIGHT(T$2,4)),$J6,0)*((1+Assumptions!$B$19)^($M6-Assumptions!$B$18)))*(1+Assumptions!$B$20))*(1+(Assumptions!$B$21+Assumptions!$B$22)))*(1+Assumptions!$B$23)</f>
        <v>0</v>
      </c>
      <c r="U6" s="4">
        <f>(((IF($M6=VALUE(RIGHT(U$2,4)),$J6,0)*((1+Assumptions!$B$19)^($M6-Assumptions!$B$18)))*(1+Assumptions!$B$20))*(1+(Assumptions!$B$21+Assumptions!$B$22)))*(1+Assumptions!$B$23)</f>
        <v>0</v>
      </c>
      <c r="V6" s="4">
        <f>(((IF($M6=VALUE(RIGHT(V$2,4)),$J6,0)*((1+Assumptions!$B$19)^($M6-Assumptions!$B$18)))*(1+Assumptions!$B$20))*(1+(Assumptions!$B$21+Assumptions!$B$22)))*(1+Assumptions!$B$23)</f>
        <v>0</v>
      </c>
      <c r="W6" s="4">
        <f>(((IF($M6=VALUE(RIGHT(W$2,4)),$J6,0)*((1+Assumptions!$B$19)^($M6-Assumptions!$B$18)))*(1+Assumptions!$B$20))*(1+(Assumptions!$B$21+Assumptions!$B$22)))*(1+Assumptions!$B$23)</f>
        <v>0</v>
      </c>
      <c r="X6" s="4">
        <f>(((IF($M6=VALUE(RIGHT(X$2,4)),$J6,0)*((1+Assumptions!$B$19)^($M6-Assumptions!$B$18)))*(1+Assumptions!$B$20))*(1+(Assumptions!$B$21+Assumptions!$B$22)))*(1+Assumptions!$B$23)</f>
        <v>0</v>
      </c>
      <c r="Y6" s="4">
        <f>(((IF($M6=VALUE(RIGHT(Y$2,4)),$J6,0)*((1+Assumptions!$B$19)^($M6-Assumptions!$B$18)))*(1+Assumptions!$B$20))*(1+(Assumptions!$B$21+Assumptions!$B$22)))*(1+Assumptions!$B$23)</f>
        <v>0</v>
      </c>
      <c r="Z6" s="4">
        <f>(((IF($M6=VALUE(RIGHT(Z$2,4)),$J6,0)*((1+Assumptions!$B$19)^($M6-Assumptions!$B$18)))*(1+Assumptions!$B$20))*(1+(Assumptions!$B$21+Assumptions!$B$22)))*(1+Assumptions!$B$23)</f>
        <v>0</v>
      </c>
      <c r="AA6" s="4">
        <f>(((IF($M6=VALUE(RIGHT(AA$2,4)),$J6,0)*((1+Assumptions!$B$19)^($M6-Assumptions!$B$18)))*(1+Assumptions!$B$20))*(1+(Assumptions!$B$21+Assumptions!$B$22)))*(1+Assumptions!$B$23)</f>
        <v>0</v>
      </c>
      <c r="AB6" s="4">
        <f>(((IF($M6=VALUE(RIGHT(AB$2,4)),$J6,0)*((1+Assumptions!$B$19)^($M6-Assumptions!$B$18)))*(1+Assumptions!$B$20))*(1+(Assumptions!$B$21+Assumptions!$B$22)))*(1+Assumptions!$B$23)</f>
        <v>0</v>
      </c>
    </row>
    <row r="7" spans="1:28" ht="12.75">
      <c r="A7" s="25" t="s">
        <v>146</v>
      </c>
      <c r="B7" s="62" t="s">
        <v>152</v>
      </c>
      <c r="C7" s="62" t="s">
        <v>172</v>
      </c>
      <c r="D7" s="63" t="s">
        <v>142</v>
      </c>
      <c r="E7" s="63" t="s">
        <v>139</v>
      </c>
      <c r="F7" s="25" t="s">
        <v>59</v>
      </c>
      <c r="G7" s="64">
        <f>LOOKUP(B7,'Heery Data'!$B$3:$B$52,'Heery Data'!$C$3:$C$52)</f>
        <v>0</v>
      </c>
      <c r="H7" s="64">
        <v>120000</v>
      </c>
      <c r="I7" s="51">
        <f>IF(F7="New",LOOKUP(E7,Assumptions!$A$2:$A$9,Assumptions!$B$2:$B$9),I7)</f>
        <v>1424020</v>
      </c>
      <c r="J7" s="50">
        <f>IF(F7="New",LOOKUP(E7,Assumptions!$A$2:$A$9,Assumptions!$B$2:$B$9),#REF!)+H7</f>
        <v>1544020</v>
      </c>
      <c r="K7" s="84">
        <v>535286</v>
      </c>
      <c r="L7" s="64">
        <f>IF(F7="New",0,(G7*((1+Assumptions!$B$19)^($M7-Assumptions!$B$18))*(1+Assumptions!$B$20)*(1+(Assumptions!$B$21+Assumptions!$B$22))*(1+Assumptions!$B$23))-(J7*((1+Assumptions!$B$19)^($M7-Assumptions!$B$18))*(1+Assumptions!$B$20)*(1+(Assumptions!$B$21+Assumptions!$B$22))*(1+Assumptions!$B$23)))</f>
        <v>0</v>
      </c>
      <c r="M7" s="63">
        <v>2006</v>
      </c>
      <c r="N7" s="4">
        <f>(((IF($M7=VALUE(RIGHT(N$2,4)),$J7,0)*((1+Assumptions!$B$19)^($M7-Assumptions!$B$18)))*(1+Assumptions!$B$20))*(1+(Assumptions!$B$21+Assumptions!$B$22)))*(1+Assumptions!$B$23)</f>
        <v>0</v>
      </c>
      <c r="O7" s="4">
        <f>K7/2</f>
        <v>267643</v>
      </c>
      <c r="P7" s="4">
        <f>K7/2</f>
        <v>267643</v>
      </c>
      <c r="Q7" s="4">
        <f>(((IF($M7=VALUE(RIGHT(Q$2,4)),$J7,0)*((1+Assumptions!$B$19)^($M7-Assumptions!$B$18)))*(1+Assumptions!$B$20))*(1+(Assumptions!$B$21+Assumptions!$B$22)))*(1+Assumptions!$B$23)</f>
        <v>0</v>
      </c>
      <c r="R7" s="4">
        <f>(((IF($M7=VALUE(RIGHT(R$2,4)),$J7,0)*((1+Assumptions!$B$19)^($M7-Assumptions!$B$18)))*(1+Assumptions!$B$20))*(1+(Assumptions!$B$21+Assumptions!$B$22)))*(1+Assumptions!$B$23)</f>
        <v>0</v>
      </c>
      <c r="S7" s="4">
        <f>(((IF($M7=VALUE(RIGHT(S$2,4)),$J7,0)*((1+Assumptions!$B$19)^($M7-Assumptions!$B$18)))*(1+Assumptions!$B$20))*(1+(Assumptions!$B$21+Assumptions!$B$22)))*(1+Assumptions!$B$23)</f>
        <v>0</v>
      </c>
      <c r="T7" s="4">
        <f>(((IF($M7=VALUE(RIGHT(T$2,4)),$J7,0)*((1+Assumptions!$B$19)^($M7-Assumptions!$B$18)))*(1+Assumptions!$B$20))*(1+(Assumptions!$B$21+Assumptions!$B$22)))*(1+Assumptions!$B$23)</f>
        <v>0</v>
      </c>
      <c r="U7" s="4">
        <f>(((IF($M7=VALUE(RIGHT(U$2,4)),$J7,0)*((1+Assumptions!$B$19)^($M7-Assumptions!$B$18)))*(1+Assumptions!$B$20))*(1+(Assumptions!$B$21+Assumptions!$B$22)))*(1+Assumptions!$B$23)</f>
        <v>0</v>
      </c>
      <c r="V7" s="4">
        <f>(((IF($M7=VALUE(RIGHT(V$2,4)),$J7,0)*((1+Assumptions!$B$19)^($M7-Assumptions!$B$18)))*(1+Assumptions!$B$20))*(1+(Assumptions!$B$21+Assumptions!$B$22)))*(1+Assumptions!$B$23)</f>
        <v>0</v>
      </c>
      <c r="W7" s="4">
        <f>(((IF($M7=VALUE(RIGHT(W$2,4)),$J7,0)*((1+Assumptions!$B$19)^($M7-Assumptions!$B$18)))*(1+Assumptions!$B$20))*(1+(Assumptions!$B$21+Assumptions!$B$22)))*(1+Assumptions!$B$23)</f>
        <v>0</v>
      </c>
      <c r="X7" s="4">
        <f>(((IF($M7=VALUE(RIGHT(X$2,4)),$J7,0)*((1+Assumptions!$B$19)^($M7-Assumptions!$B$18)))*(1+Assumptions!$B$20))*(1+(Assumptions!$B$21+Assumptions!$B$22)))*(1+Assumptions!$B$23)</f>
        <v>0</v>
      </c>
      <c r="Y7" s="4">
        <f>(((IF($M7=VALUE(RIGHT(Y$2,4)),$J7,0)*((1+Assumptions!$B$19)^($M7-Assumptions!$B$18)))*(1+Assumptions!$B$20))*(1+(Assumptions!$B$21+Assumptions!$B$22)))*(1+Assumptions!$B$23)</f>
        <v>0</v>
      </c>
      <c r="Z7" s="4">
        <f>(((IF($M7=VALUE(RIGHT(Z$2,4)),$J7,0)*((1+Assumptions!$B$19)^($M7-Assumptions!$B$18)))*(1+Assumptions!$B$20))*(1+(Assumptions!$B$21+Assumptions!$B$22)))*(1+Assumptions!$B$23)</f>
        <v>0</v>
      </c>
      <c r="AA7" s="4">
        <f>(((IF($M7=VALUE(RIGHT(AA$2,4)),$J7,0)*((1+Assumptions!$B$19)^($M7-Assumptions!$B$18)))*(1+Assumptions!$B$20))*(1+(Assumptions!$B$21+Assumptions!$B$22)))*(1+Assumptions!$B$23)</f>
        <v>0</v>
      </c>
      <c r="AB7" s="4">
        <f>(((IF($M7=VALUE(RIGHT(AB$2,4)),$J7,0)*((1+Assumptions!$B$19)^($M7-Assumptions!$B$18)))*(1+Assumptions!$B$20))*(1+(Assumptions!$B$21+Assumptions!$B$22)))*(1+Assumptions!$B$23)</f>
        <v>0</v>
      </c>
    </row>
    <row r="8" spans="1:28" ht="12.75">
      <c r="A8" s="25">
        <v>25</v>
      </c>
      <c r="B8" s="52" t="s">
        <v>190</v>
      </c>
      <c r="C8" s="52" t="s">
        <v>173</v>
      </c>
      <c r="D8" s="3" t="s">
        <v>144</v>
      </c>
      <c r="E8" s="3" t="s">
        <v>138</v>
      </c>
      <c r="F8" t="s">
        <v>60</v>
      </c>
      <c r="G8" s="4">
        <f>LOOKUP(B8,'Heery Data'!$B$3:$B$52,'Heery Data'!$C$3:$C$52)</f>
        <v>1645950</v>
      </c>
      <c r="H8" s="4">
        <f>IF(F8="New",LOOKUP(D8,Assumptions!$A$12:$A$15,Assumptions!$B$12:$B$15)*LOOKUP(E8,Assumptions!$A$2:$A$9,Assumptions!$C$2:$C$9),0)</f>
        <v>0</v>
      </c>
      <c r="I8" s="51">
        <f>IF(F8="New",LOOKUP(E8,Assumptions!$A$2:$A$9,Assumptions!$B$2:$B$9),I8)</f>
        <v>0</v>
      </c>
      <c r="J8" s="50">
        <v>0</v>
      </c>
      <c r="K8" s="84"/>
      <c r="L8" s="4">
        <f>IF(F8="New",0,(G8*((1+Assumptions!$B$19)^($M8-Assumptions!$B$18))*(1+Assumptions!$B$20)*(1+(Assumptions!$B$21+Assumptions!$B$22))*(1+Assumptions!$B$23))-(J8*((1+Assumptions!$B$19)^($M8-Assumptions!$B$18))*(1+Assumptions!$B$20)*(1+(Assumptions!$B$21+Assumptions!$B$22))*(1+Assumptions!$B$23)))</f>
        <v>1645950</v>
      </c>
      <c r="M8" s="3">
        <v>2005</v>
      </c>
      <c r="N8" s="4">
        <f>13370+179828</f>
        <v>193198</v>
      </c>
      <c r="O8" s="4">
        <f>170958+800000</f>
        <v>970958</v>
      </c>
      <c r="P8" s="4">
        <v>27632</v>
      </c>
      <c r="Q8" s="4">
        <v>0</v>
      </c>
      <c r="R8" s="4">
        <f>(((IF($M8=VALUE(RIGHT(R$2,4)),$J8,0)*((1+Assumptions!$B$19)^($M8-Assumptions!$B$18)))*(1+Assumptions!$B$20))*(1+(Assumptions!$B$21+Assumptions!$B$22)))*(1+Assumptions!$B$23)</f>
        <v>0</v>
      </c>
      <c r="S8" s="4">
        <f>(((IF($M8=VALUE(RIGHT(S$2,4)),$J8,0)*((1+Assumptions!$B$19)^($M8-Assumptions!$B$18)))*(1+Assumptions!$B$20))*(1+(Assumptions!$B$21+Assumptions!$B$22)))*(1+Assumptions!$B$23)</f>
        <v>0</v>
      </c>
      <c r="T8" s="4">
        <f>(((IF($M8=VALUE(RIGHT(T$2,4)),$J8,0)*((1+Assumptions!$B$19)^($M8-Assumptions!$B$18)))*(1+Assumptions!$B$20))*(1+(Assumptions!$B$21+Assumptions!$B$22)))*(1+Assumptions!$B$23)</f>
        <v>0</v>
      </c>
      <c r="U8" s="4">
        <f>(((IF($M8=VALUE(RIGHT(U$2,4)),$J8,0)*((1+Assumptions!$B$19)^($M8-Assumptions!$B$18)))*(1+Assumptions!$B$20))*(1+(Assumptions!$B$21+Assumptions!$B$22)))*(1+Assumptions!$B$23)</f>
        <v>0</v>
      </c>
      <c r="V8" s="4">
        <f>(((IF($M8=VALUE(RIGHT(V$2,4)),$J8,0)*((1+Assumptions!$B$19)^($M8-Assumptions!$B$18)))*(1+Assumptions!$B$20))*(1+(Assumptions!$B$21+Assumptions!$B$22)))*(1+Assumptions!$B$23)</f>
        <v>0</v>
      </c>
      <c r="W8" s="4">
        <f>(((IF($M8=VALUE(RIGHT(W$2,4)),$J8,0)*((1+Assumptions!$B$19)^($M8-Assumptions!$B$18)))*(1+Assumptions!$B$20))*(1+(Assumptions!$B$21+Assumptions!$B$22)))*(1+Assumptions!$B$23)</f>
        <v>0</v>
      </c>
      <c r="X8" s="4">
        <f>(((IF($M8=VALUE(RIGHT(X$2,4)),$J8,0)*((1+Assumptions!$B$19)^($M8-Assumptions!$B$18)))*(1+Assumptions!$B$20))*(1+(Assumptions!$B$21+Assumptions!$B$22)))*(1+Assumptions!$B$23)</f>
        <v>0</v>
      </c>
      <c r="Y8" s="4">
        <f>(((IF($M8=VALUE(RIGHT(Y$2,4)),$J8,0)*((1+Assumptions!$B$19)^($M8-Assumptions!$B$18)))*(1+Assumptions!$B$20))*(1+(Assumptions!$B$21+Assumptions!$B$22)))*(1+Assumptions!$B$23)</f>
        <v>0</v>
      </c>
      <c r="Z8" s="4">
        <f>(((IF($M8=VALUE(RIGHT(Z$2,4)),$J8,0)*((1+Assumptions!$B$19)^($M8-Assumptions!$B$18)))*(1+Assumptions!$B$20))*(1+(Assumptions!$B$21+Assumptions!$B$22)))*(1+Assumptions!$B$23)</f>
        <v>0</v>
      </c>
      <c r="AA8" s="4">
        <f>(((IF($M8=VALUE(RIGHT(AA$2,4)),$J8,0)*((1+Assumptions!$B$19)^($M8-Assumptions!$B$18)))*(1+Assumptions!$B$20))*(1+(Assumptions!$B$21+Assumptions!$B$22)))*(1+Assumptions!$B$23)</f>
        <v>0</v>
      </c>
      <c r="AB8" s="4">
        <f>(((IF($M8=VALUE(RIGHT(AB$2,4)),$J8,0)*((1+Assumptions!$B$19)^($M8-Assumptions!$B$18)))*(1+Assumptions!$B$20))*(1+(Assumptions!$B$21+Assumptions!$B$22)))*(1+Assumptions!$B$23)</f>
        <v>0</v>
      </c>
    </row>
    <row r="9" spans="1:28" ht="12.75">
      <c r="A9" s="25">
        <v>36</v>
      </c>
      <c r="B9" s="52" t="s">
        <v>22</v>
      </c>
      <c r="C9" s="52" t="s">
        <v>173</v>
      </c>
      <c r="D9" s="3" t="s">
        <v>144</v>
      </c>
      <c r="E9" s="3" t="s">
        <v>139</v>
      </c>
      <c r="F9" t="s">
        <v>60</v>
      </c>
      <c r="G9" s="4">
        <f>LOOKUP(B9,'Heery Data'!$B$3:$B$52,'Heery Data'!$C$3:$C$52)</f>
        <v>548886</v>
      </c>
      <c r="H9" s="4">
        <f>IF(F9="New",LOOKUP(D9,Assumptions!$A$12:$A$15,Assumptions!$B$12:$B$15)*LOOKUP(E9,Assumptions!$A$2:$A$9,Assumptions!$C$2:$C$9),0)</f>
        <v>0</v>
      </c>
      <c r="I9" s="51">
        <f>IF(F9="New",LOOKUP(E9,Assumptions!$A$2:$A$9,Assumptions!$B$2:$B$9),I9)</f>
        <v>0</v>
      </c>
      <c r="J9" s="50">
        <v>0</v>
      </c>
      <c r="K9" s="84"/>
      <c r="L9" s="4">
        <f>IF(F9="New",0,(G9*((1+Assumptions!$B$19)^($M9-Assumptions!$B$18))*(1+Assumptions!$B$20)*(1+(Assumptions!$B$21+Assumptions!$B$22))*(1+Assumptions!$B$23))-(J9*((1+Assumptions!$B$19)^($M9-Assumptions!$B$18))*(1+Assumptions!$B$20)*(1+(Assumptions!$B$21+Assumptions!$B$22))*(1+Assumptions!$B$23)))</f>
        <v>548886</v>
      </c>
      <c r="M9" s="3">
        <v>2005</v>
      </c>
      <c r="N9" s="4">
        <v>35655</v>
      </c>
      <c r="O9" s="4">
        <v>43245</v>
      </c>
      <c r="P9" s="4">
        <v>17192</v>
      </c>
      <c r="Q9" s="4">
        <f>(((IF($M9=VALUE(RIGHT(Q$2,4)),$J9,0)*((1+Assumptions!$B$19)^($M9-Assumptions!$B$18)))*(1+Assumptions!$B$20))*(1+(Assumptions!$B$21+Assumptions!$B$22)))*(1+Assumptions!$B$23)</f>
        <v>0</v>
      </c>
      <c r="R9" s="4">
        <f>(((IF($M9=VALUE(RIGHT(R$2,4)),$J9,0)*((1+Assumptions!$B$19)^($M9-Assumptions!$B$18)))*(1+Assumptions!$B$20))*(1+(Assumptions!$B$21+Assumptions!$B$22)))*(1+Assumptions!$B$23)</f>
        <v>0</v>
      </c>
      <c r="S9" s="4">
        <f>(((IF($M9=VALUE(RIGHT(S$2,4)),$J9,0)*((1+Assumptions!$B$19)^($M9-Assumptions!$B$18)))*(1+Assumptions!$B$20))*(1+(Assumptions!$B$21+Assumptions!$B$22)))*(1+Assumptions!$B$23)</f>
        <v>0</v>
      </c>
      <c r="T9" s="4">
        <f>(((IF($M9=VALUE(RIGHT(T$2,4)),$J9,0)*((1+Assumptions!$B$19)^($M9-Assumptions!$B$18)))*(1+Assumptions!$B$20))*(1+(Assumptions!$B$21+Assumptions!$B$22)))*(1+Assumptions!$B$23)</f>
        <v>0</v>
      </c>
      <c r="U9" s="4">
        <f>(((IF($M9=VALUE(RIGHT(U$2,4)),$J9,0)*((1+Assumptions!$B$19)^($M9-Assumptions!$B$18)))*(1+Assumptions!$B$20))*(1+(Assumptions!$B$21+Assumptions!$B$22)))*(1+Assumptions!$B$23)</f>
        <v>0</v>
      </c>
      <c r="V9" s="4">
        <f>(((IF($M9=VALUE(RIGHT(V$2,4)),$J9,0)*((1+Assumptions!$B$19)^($M9-Assumptions!$B$18)))*(1+Assumptions!$B$20))*(1+(Assumptions!$B$21+Assumptions!$B$22)))*(1+Assumptions!$B$23)</f>
        <v>0</v>
      </c>
      <c r="W9" s="4">
        <f>(((IF($M9=VALUE(RIGHT(W$2,4)),$J9,0)*((1+Assumptions!$B$19)^($M9-Assumptions!$B$18)))*(1+Assumptions!$B$20))*(1+(Assumptions!$B$21+Assumptions!$B$22)))*(1+Assumptions!$B$23)</f>
        <v>0</v>
      </c>
      <c r="X9" s="4">
        <f>(((IF($M9=VALUE(RIGHT(X$2,4)),$J9,0)*((1+Assumptions!$B$19)^($M9-Assumptions!$B$18)))*(1+Assumptions!$B$20))*(1+(Assumptions!$B$21+Assumptions!$B$22)))*(1+Assumptions!$B$23)</f>
        <v>0</v>
      </c>
      <c r="Y9" s="4">
        <f>(((IF($M9=VALUE(RIGHT(Y$2,4)),$J9,0)*((1+Assumptions!$B$19)^($M9-Assumptions!$B$18)))*(1+Assumptions!$B$20))*(1+(Assumptions!$B$21+Assumptions!$B$22)))*(1+Assumptions!$B$23)</f>
        <v>0</v>
      </c>
      <c r="Z9" s="4">
        <f>(((IF($M9=VALUE(RIGHT(Z$2,4)),$J9,0)*((1+Assumptions!$B$19)^($M9-Assumptions!$B$18)))*(1+Assumptions!$B$20))*(1+(Assumptions!$B$21+Assumptions!$B$22)))*(1+Assumptions!$B$23)</f>
        <v>0</v>
      </c>
      <c r="AA9" s="4">
        <f>(((IF($M9=VALUE(RIGHT(AA$2,4)),$J9,0)*((1+Assumptions!$B$19)^($M9-Assumptions!$B$18)))*(1+Assumptions!$B$20))*(1+(Assumptions!$B$21+Assumptions!$B$22)))*(1+Assumptions!$B$23)</f>
        <v>0</v>
      </c>
      <c r="AB9" s="4">
        <f>(((IF($M9=VALUE(RIGHT(AB$2,4)),$J9,0)*((1+Assumptions!$B$19)^($M9-Assumptions!$B$18)))*(1+Assumptions!$B$20))*(1+(Assumptions!$B$21+Assumptions!$B$22)))*(1+Assumptions!$B$23)</f>
        <v>0</v>
      </c>
    </row>
    <row r="10" spans="1:28" ht="12.75">
      <c r="A10" s="25">
        <v>12</v>
      </c>
      <c r="B10" s="52" t="s">
        <v>165</v>
      </c>
      <c r="C10" s="52" t="s">
        <v>173</v>
      </c>
      <c r="D10" s="3" t="s">
        <v>144</v>
      </c>
      <c r="E10" s="3" t="s">
        <v>139</v>
      </c>
      <c r="F10" t="s">
        <v>57</v>
      </c>
      <c r="G10" s="4">
        <f>LOOKUP(B10,'Heery Data'!$B$3:$B$52,'Heery Data'!$C$3:$C$52)</f>
        <v>540777</v>
      </c>
      <c r="H10" s="4">
        <f>IF(F10="New",LOOKUP(D10,Assumptions!$A$12:$A$15,Assumptions!$B$12:$B$15)*LOOKUP(E10,Assumptions!$A$2:$A$9,Assumptions!$C$2:$C$9),0)</f>
        <v>0</v>
      </c>
      <c r="I10" s="51">
        <f>IF(F10="New",LOOKUP(E10,Assumptions!$A$2:$A$9,Assumptions!$B$2:$B$9),I10)</f>
        <v>0</v>
      </c>
      <c r="J10" s="50">
        <v>0</v>
      </c>
      <c r="K10" s="84"/>
      <c r="L10" s="4">
        <f>IF(F10="New",0,(G10*((1+Assumptions!$B$19)^($M10-Assumptions!$B$18))*(1+Assumptions!$B$20)*(1+(Assumptions!$B$21+Assumptions!$B$22))*(1+Assumptions!$B$23))-(J10*((1+Assumptions!$B$19)^($M10-Assumptions!$B$18))*(1+Assumptions!$B$20)*(1+(Assumptions!$B$21+Assumptions!$B$22))*(1+Assumptions!$B$23)))</f>
        <v>540777</v>
      </c>
      <c r="M10" s="3">
        <v>2005</v>
      </c>
      <c r="N10" s="4">
        <f>(((IF($M10=VALUE(RIGHT(N$2,4)),$J10,0)*((1+Assumptions!$B$19)^($M10-Assumptions!$B$18)))*(1+Assumptions!$B$20))*(1+(Assumptions!$B$21+Assumptions!$B$22)))*(1+Assumptions!$B$23)</f>
        <v>0</v>
      </c>
      <c r="O10" s="4">
        <v>0</v>
      </c>
      <c r="P10" s="4">
        <f>(((IF($M10=VALUE(RIGHT(P$2,4)),$J10,0)*((1+Assumptions!$B$19)^($M10-Assumptions!$B$18)))*(1+Assumptions!$B$20))*(1+(Assumptions!$B$21+Assumptions!$B$22)))*(1+Assumptions!$B$23)</f>
        <v>0</v>
      </c>
      <c r="Q10" s="4">
        <f>(((IF($M10=VALUE(RIGHT(Q$2,4)),$J10,0)*((1+Assumptions!$B$19)^($M10-Assumptions!$B$18)))*(1+Assumptions!$B$20))*(1+(Assumptions!$B$21+Assumptions!$B$22)))*(1+Assumptions!$B$23)</f>
        <v>0</v>
      </c>
      <c r="R10" s="4">
        <f>(((IF($M10=VALUE(RIGHT(R$2,4)),$J10,0)*((1+Assumptions!$B$19)^($M10-Assumptions!$B$18)))*(1+Assumptions!$B$20))*(1+(Assumptions!$B$21+Assumptions!$B$22)))*(1+Assumptions!$B$23)</f>
        <v>0</v>
      </c>
      <c r="S10" s="4">
        <f>(((IF($M10=VALUE(RIGHT(S$2,4)),$J10,0)*((1+Assumptions!$B$19)^($M10-Assumptions!$B$18)))*(1+Assumptions!$B$20))*(1+(Assumptions!$B$21+Assumptions!$B$22)))*(1+Assumptions!$B$23)</f>
        <v>0</v>
      </c>
      <c r="T10" s="4">
        <f>(((IF($M10=VALUE(RIGHT(T$2,4)),$J10,0)*((1+Assumptions!$B$19)^($M10-Assumptions!$B$18)))*(1+Assumptions!$B$20))*(1+(Assumptions!$B$21+Assumptions!$B$22)))*(1+Assumptions!$B$23)</f>
        <v>0</v>
      </c>
      <c r="U10" s="4">
        <f>(((IF($M10=VALUE(RIGHT(U$2,4)),$J10,0)*((1+Assumptions!$B$19)^($M10-Assumptions!$B$18)))*(1+Assumptions!$B$20))*(1+(Assumptions!$B$21+Assumptions!$B$22)))*(1+Assumptions!$B$23)</f>
        <v>0</v>
      </c>
      <c r="V10" s="4">
        <f>(((IF($M10=VALUE(RIGHT(V$2,4)),$J10,0)*((1+Assumptions!$B$19)^($M10-Assumptions!$B$18)))*(1+Assumptions!$B$20))*(1+(Assumptions!$B$21+Assumptions!$B$22)))*(1+Assumptions!$B$23)</f>
        <v>0</v>
      </c>
      <c r="W10" s="4">
        <f>(((IF($M10=VALUE(RIGHT(W$2,4)),$J10,0)*((1+Assumptions!$B$19)^($M10-Assumptions!$B$18)))*(1+Assumptions!$B$20))*(1+(Assumptions!$B$21+Assumptions!$B$22)))*(1+Assumptions!$B$23)</f>
        <v>0</v>
      </c>
      <c r="X10" s="4">
        <f>(((IF($M10=VALUE(RIGHT(X$2,4)),$J10,0)*((1+Assumptions!$B$19)^($M10-Assumptions!$B$18)))*(1+Assumptions!$B$20))*(1+(Assumptions!$B$21+Assumptions!$B$22)))*(1+Assumptions!$B$23)</f>
        <v>0</v>
      </c>
      <c r="Y10" s="4">
        <f>(((IF($M10=VALUE(RIGHT(Y$2,4)),$J10,0)*((1+Assumptions!$B$19)^($M10-Assumptions!$B$18)))*(1+Assumptions!$B$20))*(1+(Assumptions!$B$21+Assumptions!$B$22)))*(1+Assumptions!$B$23)</f>
        <v>0</v>
      </c>
      <c r="Z10" s="4">
        <f>(((IF($M10=VALUE(RIGHT(Z$2,4)),$J10,0)*((1+Assumptions!$B$19)^($M10-Assumptions!$B$18)))*(1+Assumptions!$B$20))*(1+(Assumptions!$B$21+Assumptions!$B$22)))*(1+Assumptions!$B$23)</f>
        <v>0</v>
      </c>
      <c r="AA10" s="4">
        <f>(((IF($M10=VALUE(RIGHT(AA$2,4)),$J10,0)*((1+Assumptions!$B$19)^($M10-Assumptions!$B$18)))*(1+Assumptions!$B$20))*(1+(Assumptions!$B$21+Assumptions!$B$22)))*(1+Assumptions!$B$23)</f>
        <v>0</v>
      </c>
      <c r="AB10" s="4">
        <f>(((IF($M10=VALUE(RIGHT(AB$2,4)),$J10,0)*((1+Assumptions!$B$19)^($M10-Assumptions!$B$18)))*(1+Assumptions!$B$20))*(1+(Assumptions!$B$21+Assumptions!$B$22)))*(1+Assumptions!$B$23)</f>
        <v>0</v>
      </c>
    </row>
    <row r="11" spans="1:28" s="25" customFormat="1" ht="12.75">
      <c r="A11" s="13" t="s">
        <v>146</v>
      </c>
      <c r="B11" s="57" t="s">
        <v>251</v>
      </c>
      <c r="C11" s="57" t="s">
        <v>173</v>
      </c>
      <c r="D11" s="58" t="s">
        <v>144</v>
      </c>
      <c r="E11" s="58" t="s">
        <v>137</v>
      </c>
      <c r="F11" s="13" t="s">
        <v>59</v>
      </c>
      <c r="G11" s="59">
        <f>LOOKUP(B11,'Heery Data'!$B$3:$B$52,'Heery Data'!$C$3:$C$52)</f>
        <v>0</v>
      </c>
      <c r="H11" s="59">
        <v>240000</v>
      </c>
      <c r="I11" s="60">
        <f>IF(F11="New",LOOKUP(E11,Assumptions!$A$2:$A$9,Assumptions!$B$2:$B$9),I11)</f>
        <v>1482172.0760000001</v>
      </c>
      <c r="J11" s="61">
        <f>SUM(H11:I11)</f>
        <v>1722172.0760000001</v>
      </c>
      <c r="K11" s="85"/>
      <c r="L11" s="59">
        <f>IF(F11="New",0,(G11*((1+Assumptions!$B$19)^($M11-Assumptions!$B$18))*(1+Assumptions!$B$20)*(1+(Assumptions!$B$21+Assumptions!$B$22))*(1+Assumptions!$B$23))-(J11*((1+Assumptions!$B$19)^($M11-Assumptions!$B$18))*(1+Assumptions!$B$20)*(1+(Assumptions!$B$21+Assumptions!$B$22))*(1+Assumptions!$B$23)))</f>
        <v>0</v>
      </c>
      <c r="M11" s="58">
        <v>2011</v>
      </c>
      <c r="N11" s="59">
        <f>(((IF($M11=VALUE(RIGHT(N$2,4)),$J11,0)*((1+Assumptions!$B$19)^($M11-Assumptions!$B$18)))*(1+Assumptions!$B$20))*(1+(Assumptions!$B$21+Assumptions!$B$22)))*(1+Assumptions!$B$23)</f>
        <v>0</v>
      </c>
      <c r="O11" s="59">
        <v>0</v>
      </c>
      <c r="P11" s="59">
        <f>(((IF($M11=VALUE(RIGHT(P$2,4)),$J11,0)*((1+Assumptions!$B$19)^($M11-Assumptions!$B$18)))*(1+Assumptions!$B$20))*(1+(Assumptions!$B$21+Assumptions!$B$22)))*(1+Assumptions!$B$23)</f>
        <v>0</v>
      </c>
      <c r="Q11" s="59">
        <f>(((IF($M11=VALUE(RIGHT(Q$2,4)),$J11,0)*((1+Assumptions!$B$19)^($M11-Assumptions!$B$18)))*(1+Assumptions!$B$20))*(1+(Assumptions!$B$21+Assumptions!$B$22)))*(1+Assumptions!$B$23)</f>
        <v>0</v>
      </c>
      <c r="R11" s="59">
        <f>(((IF($M11=VALUE(RIGHT(R$2,4)),$J11,0)*((1+Assumptions!$B$19)^($M11-Assumptions!$B$18)))*(1+Assumptions!$B$20))*(1+(Assumptions!$B$21+Assumptions!$B$22)))*(1+Assumptions!$B$23)</f>
        <v>0</v>
      </c>
      <c r="S11" s="59">
        <f>(((IF($M11=VALUE(RIGHT(S$2,4)),$J11,0)*((1+Assumptions!$B$19)^($M11-Assumptions!$B$18)))*(1+Assumptions!$B$20))*(1+(Assumptions!$B$21+Assumptions!$B$22)))*(1+Assumptions!$B$23)</f>
        <v>0</v>
      </c>
      <c r="T11" s="59">
        <v>861086.0380000001</v>
      </c>
      <c r="U11" s="59">
        <f>J11/2</f>
        <v>861086.0380000001</v>
      </c>
      <c r="V11" s="59">
        <f>(((IF($M11=VALUE(RIGHT(V$2,4)),$J11,0)*((1+Assumptions!$B$19)^($M11-Assumptions!$B$18)))*(1+Assumptions!$B$20))*(1+(Assumptions!$B$21+Assumptions!$B$22)))*(1+Assumptions!$B$23)</f>
        <v>0</v>
      </c>
      <c r="W11" s="59">
        <f>(((IF($M11=VALUE(RIGHT(W$2,4)),$J11,0)*((1+Assumptions!$B$19)^($M11-Assumptions!$B$18)))*(1+Assumptions!$B$20))*(1+(Assumptions!$B$21+Assumptions!$B$22)))*(1+Assumptions!$B$23)</f>
        <v>0</v>
      </c>
      <c r="X11" s="59">
        <f>(((IF($M11=VALUE(RIGHT(X$2,4)),$J11,0)*((1+Assumptions!$B$19)^($M11-Assumptions!$B$18)))*(1+Assumptions!$B$20))*(1+(Assumptions!$B$21+Assumptions!$B$22)))*(1+Assumptions!$B$23)</f>
        <v>0</v>
      </c>
      <c r="Y11" s="59">
        <f>(((IF($M11=VALUE(RIGHT(Y$2,4)),$J11,0)*((1+Assumptions!$B$19)^($M11-Assumptions!$B$18)))*(1+Assumptions!$B$20))*(1+(Assumptions!$B$21+Assumptions!$B$22)))*(1+Assumptions!$B$23)</f>
        <v>0</v>
      </c>
      <c r="Z11" s="59">
        <f>(((IF($M11=VALUE(RIGHT(Z$2,4)),$J11,0)*((1+Assumptions!$B$19)^($M11-Assumptions!$B$18)))*(1+Assumptions!$B$20))*(1+(Assumptions!$B$21+Assumptions!$B$22)))*(1+Assumptions!$B$23)</f>
        <v>0</v>
      </c>
      <c r="AA11" s="59">
        <f>(((IF($M11=VALUE(RIGHT(AA$2,4)),$J11,0)*((1+Assumptions!$B$19)^($M11-Assumptions!$B$18)))*(1+Assumptions!$B$20))*(1+(Assumptions!$B$21+Assumptions!$B$22)))*(1+Assumptions!$B$23)</f>
        <v>0</v>
      </c>
      <c r="AB11" s="59">
        <f>(((IF($M11=VALUE(RIGHT(AB$2,4)),$J11,0)*((1+Assumptions!$B$19)^($M11-Assumptions!$B$18)))*(1+Assumptions!$B$20))*(1+(Assumptions!$B$21+Assumptions!$B$22)))*(1+Assumptions!$B$23)</f>
        <v>0</v>
      </c>
    </row>
    <row r="12" spans="1:28" ht="12.75">
      <c r="A12" s="25">
        <v>16</v>
      </c>
      <c r="B12" s="52" t="s">
        <v>24</v>
      </c>
      <c r="C12" s="52" t="s">
        <v>173</v>
      </c>
      <c r="D12" s="3" t="s">
        <v>144</v>
      </c>
      <c r="E12" s="3" t="s">
        <v>138</v>
      </c>
      <c r="F12" t="s">
        <v>60</v>
      </c>
      <c r="G12" s="4">
        <f>LOOKUP(B12,'Heery Data'!$B$3:$B$52,'Heery Data'!$C$3:$C$52)</f>
        <v>538353</v>
      </c>
      <c r="H12" s="4">
        <f>IF(F12="New",LOOKUP(D12,Assumptions!$A$12:$A$15,Assumptions!$B$12:$B$15)*LOOKUP(E12,Assumptions!$A$2:$A$9,Assumptions!$C$2:$C$9),0)</f>
        <v>0</v>
      </c>
      <c r="I12" s="51">
        <f>IF(F12="New",LOOKUP(E12,Assumptions!$A$2:$A$9,Assumptions!$B$2:$B$9),I12)</f>
        <v>0</v>
      </c>
      <c r="J12" s="50">
        <v>0</v>
      </c>
      <c r="K12" s="84"/>
      <c r="L12" s="4">
        <f>IF(F12="New",0,(G12*((1+Assumptions!$B$19)^($M12-Assumptions!$B$18))*(1+Assumptions!$B$20)*(1+(Assumptions!$B$21+Assumptions!$B$22))*(1+Assumptions!$B$23))-(J12*((1+Assumptions!$B$19)^($M12-Assumptions!$B$18))*(1+Assumptions!$B$20)*(1+(Assumptions!$B$21+Assumptions!$B$22))*(1+Assumptions!$B$23)))</f>
        <v>538353</v>
      </c>
      <c r="M12" s="3">
        <v>2005</v>
      </c>
      <c r="N12" s="4">
        <f>29987+8808</f>
        <v>38795</v>
      </c>
      <c r="O12" s="4">
        <f>142+32497+57907</f>
        <v>90546</v>
      </c>
      <c r="P12" s="4">
        <v>2293</v>
      </c>
      <c r="Q12" s="4">
        <f>(((IF($M12=VALUE(RIGHT(Q$2,4)),$J12,0)*((1+Assumptions!$B$19)^($M12-Assumptions!$B$18)))*(1+Assumptions!$B$20))*(1+(Assumptions!$B$21+Assumptions!$B$22)))*(1+Assumptions!$B$23)</f>
        <v>0</v>
      </c>
      <c r="R12" s="4">
        <f>(((IF($M12=VALUE(RIGHT(R$2,4)),$J12,0)*((1+Assumptions!$B$19)^($M12-Assumptions!$B$18)))*(1+Assumptions!$B$20))*(1+(Assumptions!$B$21+Assumptions!$B$22)))*(1+Assumptions!$B$23)</f>
        <v>0</v>
      </c>
      <c r="S12" s="4">
        <f>(((IF($M12=VALUE(RIGHT(S$2,4)),$J12,0)*((1+Assumptions!$B$19)^($M12-Assumptions!$B$18)))*(1+Assumptions!$B$20))*(1+(Assumptions!$B$21+Assumptions!$B$22)))*(1+Assumptions!$B$23)</f>
        <v>0</v>
      </c>
      <c r="T12" s="4">
        <f>(((IF($M12=VALUE(RIGHT(T$2,4)),$J12,0)*((1+Assumptions!$B$19)^($M12-Assumptions!$B$18)))*(1+Assumptions!$B$20))*(1+(Assumptions!$B$21+Assumptions!$B$22)))*(1+Assumptions!$B$23)</f>
        <v>0</v>
      </c>
      <c r="U12" s="4">
        <f>(((IF($M12=VALUE(RIGHT(U$2,4)),$J12,0)*((1+Assumptions!$B$19)^($M12-Assumptions!$B$18)))*(1+Assumptions!$B$20))*(1+(Assumptions!$B$21+Assumptions!$B$22)))*(1+Assumptions!$B$23)</f>
        <v>0</v>
      </c>
      <c r="V12" s="4">
        <f>(((IF($M12=VALUE(RIGHT(V$2,4)),$J12,0)*((1+Assumptions!$B$19)^($M12-Assumptions!$B$18)))*(1+Assumptions!$B$20))*(1+(Assumptions!$B$21+Assumptions!$B$22)))*(1+Assumptions!$B$23)</f>
        <v>0</v>
      </c>
      <c r="W12" s="4">
        <f>(((IF($M12=VALUE(RIGHT(W$2,4)),$J12,0)*((1+Assumptions!$B$19)^($M12-Assumptions!$B$18)))*(1+Assumptions!$B$20))*(1+(Assumptions!$B$21+Assumptions!$B$22)))*(1+Assumptions!$B$23)</f>
        <v>0</v>
      </c>
      <c r="X12" s="4">
        <f>(((IF($M12=VALUE(RIGHT(X$2,4)),$J12,0)*((1+Assumptions!$B$19)^($M12-Assumptions!$B$18)))*(1+Assumptions!$B$20))*(1+(Assumptions!$B$21+Assumptions!$B$22)))*(1+Assumptions!$B$23)</f>
        <v>0</v>
      </c>
      <c r="Y12" s="4">
        <f>(((IF($M12=VALUE(RIGHT(Y$2,4)),$J12,0)*((1+Assumptions!$B$19)^($M12-Assumptions!$B$18)))*(1+Assumptions!$B$20))*(1+(Assumptions!$B$21+Assumptions!$B$22)))*(1+Assumptions!$B$23)</f>
        <v>0</v>
      </c>
      <c r="Z12" s="4">
        <f>(((IF($M12=VALUE(RIGHT(Z$2,4)),$J12,0)*((1+Assumptions!$B$19)^($M12-Assumptions!$B$18)))*(1+Assumptions!$B$20))*(1+(Assumptions!$B$21+Assumptions!$B$22)))*(1+Assumptions!$B$23)</f>
        <v>0</v>
      </c>
      <c r="AA12" s="4">
        <f>(((IF($M12=VALUE(RIGHT(AA$2,4)),$J12,0)*((1+Assumptions!$B$19)^($M12-Assumptions!$B$18)))*(1+Assumptions!$B$20))*(1+(Assumptions!$B$21+Assumptions!$B$22)))*(1+Assumptions!$B$23)</f>
        <v>0</v>
      </c>
      <c r="AB12" s="4">
        <f>(((IF($M12=VALUE(RIGHT(AB$2,4)),$J12,0)*((1+Assumptions!$B$19)^($M12-Assumptions!$B$18)))*(1+Assumptions!$B$20))*(1+(Assumptions!$B$21+Assumptions!$B$22)))*(1+Assumptions!$B$23)</f>
        <v>0</v>
      </c>
    </row>
    <row r="13" spans="1:28" ht="12.75">
      <c r="A13" s="25">
        <v>17</v>
      </c>
      <c r="B13" s="52" t="s">
        <v>25</v>
      </c>
      <c r="C13" s="52" t="s">
        <v>173</v>
      </c>
      <c r="D13" s="3" t="s">
        <v>144</v>
      </c>
      <c r="E13" s="3" t="s">
        <v>139</v>
      </c>
      <c r="F13" t="s">
        <v>60</v>
      </c>
      <c r="G13" s="4">
        <f>LOOKUP(B13,'Heery Data'!$B$3:$B$52,'Heery Data'!$C$3:$C$52)</f>
        <v>0</v>
      </c>
      <c r="H13" s="4">
        <f>IF(F13="New",LOOKUP(D13,Assumptions!$A$12:$A$15,Assumptions!$B$12:$B$15)*LOOKUP(E13,Assumptions!$A$2:$A$9,Assumptions!$C$2:$C$9),0)</f>
        <v>0</v>
      </c>
      <c r="I13" s="51">
        <f>IF(F13="New",LOOKUP(E13,Assumptions!$A$2:$A$9,Assumptions!$B$2:$B$9),I13)</f>
        <v>0</v>
      </c>
      <c r="J13" s="50">
        <v>0</v>
      </c>
      <c r="K13" s="84"/>
      <c r="L13" s="4">
        <f>IF(F13="New",0,(G13*((1+Assumptions!$B$19)^($M13-Assumptions!$B$18))*(1+Assumptions!$B$20)*(1+(Assumptions!$B$21+Assumptions!$B$22))*(1+Assumptions!$B$23))-(J13*((1+Assumptions!$B$19)^($M13-Assumptions!$B$18))*(1+Assumptions!$B$20)*(1+(Assumptions!$B$21+Assumptions!$B$22))*(1+Assumptions!$B$23)))</f>
        <v>0</v>
      </c>
      <c r="M13" s="3">
        <v>2005</v>
      </c>
      <c r="N13" s="4">
        <f>(((IF($M13=VALUE(RIGHT(N$2,4)),$J13,0)*((1+Assumptions!$B$19)^($M13-Assumptions!$B$18)))*(1+Assumptions!$B$20))*(1+(Assumptions!$B$21+Assumptions!$B$22)))*(1+Assumptions!$B$23)</f>
        <v>0</v>
      </c>
      <c r="O13" s="4">
        <v>0</v>
      </c>
      <c r="P13" s="4">
        <f>(((IF($M13=VALUE(RIGHT(P$2,4)),$J13,0)*((1+Assumptions!$B$19)^($M13-Assumptions!$B$18)))*(1+Assumptions!$B$20))*(1+(Assumptions!$B$21+Assumptions!$B$22)))*(1+Assumptions!$B$23)</f>
        <v>0</v>
      </c>
      <c r="Q13" s="4">
        <f>(((IF($M13=VALUE(RIGHT(Q$2,4)),$J13,0)*((1+Assumptions!$B$19)^($M13-Assumptions!$B$18)))*(1+Assumptions!$B$20))*(1+(Assumptions!$B$21+Assumptions!$B$22)))*(1+Assumptions!$B$23)</f>
        <v>0</v>
      </c>
      <c r="R13" s="4">
        <f>(((IF($M13=VALUE(RIGHT(R$2,4)),$J13,0)*((1+Assumptions!$B$19)^($M13-Assumptions!$B$18)))*(1+Assumptions!$B$20))*(1+(Assumptions!$B$21+Assumptions!$B$22)))*(1+Assumptions!$B$23)</f>
        <v>0</v>
      </c>
      <c r="S13" s="4">
        <f>(((IF($M13=VALUE(RIGHT(S$2,4)),$J13,0)*((1+Assumptions!$B$19)^($M13-Assumptions!$B$18)))*(1+Assumptions!$B$20))*(1+(Assumptions!$B$21+Assumptions!$B$22)))*(1+Assumptions!$B$23)</f>
        <v>0</v>
      </c>
      <c r="T13" s="4">
        <f>(((IF($M13=VALUE(RIGHT(T$2,4)),$J13,0)*((1+Assumptions!$B$19)^($M13-Assumptions!$B$18)))*(1+Assumptions!$B$20))*(1+(Assumptions!$B$21+Assumptions!$B$22)))*(1+Assumptions!$B$23)</f>
        <v>0</v>
      </c>
      <c r="U13" s="4">
        <f>(((IF($M13=VALUE(RIGHT(U$2,4)),$J13,0)*((1+Assumptions!$B$19)^($M13-Assumptions!$B$18)))*(1+Assumptions!$B$20))*(1+(Assumptions!$B$21+Assumptions!$B$22)))*(1+Assumptions!$B$23)</f>
        <v>0</v>
      </c>
      <c r="V13" s="4">
        <f>(((IF($M13=VALUE(RIGHT(V$2,4)),$J13,0)*((1+Assumptions!$B$19)^($M13-Assumptions!$B$18)))*(1+Assumptions!$B$20))*(1+(Assumptions!$B$21+Assumptions!$B$22)))*(1+Assumptions!$B$23)</f>
        <v>0</v>
      </c>
      <c r="W13" s="4">
        <f>(((IF($M13=VALUE(RIGHT(W$2,4)),$J13,0)*((1+Assumptions!$B$19)^($M13-Assumptions!$B$18)))*(1+Assumptions!$B$20))*(1+(Assumptions!$B$21+Assumptions!$B$22)))*(1+Assumptions!$B$23)</f>
        <v>0</v>
      </c>
      <c r="X13" s="4">
        <f>(((IF($M13=VALUE(RIGHT(X$2,4)),$J13,0)*((1+Assumptions!$B$19)^($M13-Assumptions!$B$18)))*(1+Assumptions!$B$20))*(1+(Assumptions!$B$21+Assumptions!$B$22)))*(1+Assumptions!$B$23)</f>
        <v>0</v>
      </c>
      <c r="Y13" s="4">
        <f>(((IF($M13=VALUE(RIGHT(Y$2,4)),$J13,0)*((1+Assumptions!$B$19)^($M13-Assumptions!$B$18)))*(1+Assumptions!$B$20))*(1+(Assumptions!$B$21+Assumptions!$B$22)))*(1+Assumptions!$B$23)</f>
        <v>0</v>
      </c>
      <c r="Z13" s="4">
        <f>(((IF($M13=VALUE(RIGHT(Z$2,4)),$J13,0)*((1+Assumptions!$B$19)^($M13-Assumptions!$B$18)))*(1+Assumptions!$B$20))*(1+(Assumptions!$B$21+Assumptions!$B$22)))*(1+Assumptions!$B$23)</f>
        <v>0</v>
      </c>
      <c r="AA13" s="4">
        <f>(((IF($M13=VALUE(RIGHT(AA$2,4)),$J13,0)*((1+Assumptions!$B$19)^($M13-Assumptions!$B$18)))*(1+Assumptions!$B$20))*(1+(Assumptions!$B$21+Assumptions!$B$22)))*(1+Assumptions!$B$23)</f>
        <v>0</v>
      </c>
      <c r="AB13" s="4">
        <f>(((IF($M13=VALUE(RIGHT(AB$2,4)),$J13,0)*((1+Assumptions!$B$19)^($M13-Assumptions!$B$18)))*(1+Assumptions!$B$20))*(1+(Assumptions!$B$21+Assumptions!$B$22)))*(1+Assumptions!$B$23)</f>
        <v>0</v>
      </c>
    </row>
    <row r="14" spans="1:28" ht="12.75">
      <c r="A14" s="25">
        <v>38</v>
      </c>
      <c r="B14" s="52" t="s">
        <v>38</v>
      </c>
      <c r="C14" s="52" t="s">
        <v>173</v>
      </c>
      <c r="D14" s="3" t="s">
        <v>143</v>
      </c>
      <c r="E14" s="3" t="s">
        <v>138</v>
      </c>
      <c r="F14" t="s">
        <v>60</v>
      </c>
      <c r="G14" s="4">
        <f>LOOKUP(B14,'Heery Data'!$B$3:$B$52,'Heery Data'!$C$3:$C$52)</f>
        <v>379360</v>
      </c>
      <c r="H14" s="4">
        <f>IF(F14="New",LOOKUP(D14,Assumptions!$A$12:$A$15,Assumptions!$B$12:$B$15)*LOOKUP(E14,Assumptions!$A$2:$A$9,Assumptions!$C$2:$C$9),0)</f>
        <v>0</v>
      </c>
      <c r="I14" s="51">
        <f>IF(F14="New",LOOKUP(E14,Assumptions!$A$2:$A$9,Assumptions!$B$2:$B$9),I14)</f>
        <v>0</v>
      </c>
      <c r="J14" s="50">
        <v>0</v>
      </c>
      <c r="K14" s="84"/>
      <c r="L14" s="4">
        <f>IF(F14="New",0,(G14*((1+Assumptions!$B$19)^($M14-Assumptions!$B$18))*(1+Assumptions!$B$20)*(1+(Assumptions!$B$21+Assumptions!$B$22))*(1+Assumptions!$B$23))-(J14*((1+Assumptions!$B$19)^($M14-Assumptions!$B$18))*(1+Assumptions!$B$20)*(1+(Assumptions!$B$21+Assumptions!$B$22))*(1+Assumptions!$B$23)))</f>
        <v>379360</v>
      </c>
      <c r="M14" s="3">
        <v>2005</v>
      </c>
      <c r="N14" s="4">
        <f>2101+23440</f>
        <v>25541</v>
      </c>
      <c r="O14" s="4">
        <f>6076+9944</f>
        <v>16020</v>
      </c>
      <c r="P14" s="4">
        <f>127852+7126</f>
        <v>134978</v>
      </c>
      <c r="Q14" s="4">
        <f>(((IF($M14=VALUE(RIGHT(Q$2,4)),$J14,0)*((1+Assumptions!$B$19)^($M14-Assumptions!$B$18)))*(1+Assumptions!$B$20))*(1+(Assumptions!$B$21+Assumptions!$B$22)))*(1+Assumptions!$B$23)</f>
        <v>0</v>
      </c>
      <c r="R14" s="4">
        <f>(((IF($M14=VALUE(RIGHT(R$2,4)),$J14,0)*((1+Assumptions!$B$19)^($M14-Assumptions!$B$18)))*(1+Assumptions!$B$20))*(1+(Assumptions!$B$21+Assumptions!$B$22)))*(1+Assumptions!$B$23)</f>
        <v>0</v>
      </c>
      <c r="S14" s="4">
        <f>(((IF($M14=VALUE(RIGHT(S$2,4)),$J14,0)*((1+Assumptions!$B$19)^($M14-Assumptions!$B$18)))*(1+Assumptions!$B$20))*(1+(Assumptions!$B$21+Assumptions!$B$22)))*(1+Assumptions!$B$23)</f>
        <v>0</v>
      </c>
      <c r="T14" s="4">
        <f>(((IF($M14=VALUE(RIGHT(T$2,4)),$J14,0)*((1+Assumptions!$B$19)^($M14-Assumptions!$B$18)))*(1+Assumptions!$B$20))*(1+(Assumptions!$B$21+Assumptions!$B$22)))*(1+Assumptions!$B$23)</f>
        <v>0</v>
      </c>
      <c r="U14" s="4">
        <f>(((IF($M14=VALUE(RIGHT(U$2,4)),$J14,0)*((1+Assumptions!$B$19)^($M14-Assumptions!$B$18)))*(1+Assumptions!$B$20))*(1+(Assumptions!$B$21+Assumptions!$B$22)))*(1+Assumptions!$B$23)</f>
        <v>0</v>
      </c>
      <c r="V14" s="4">
        <f>(((IF($M14=VALUE(RIGHT(V$2,4)),$J14,0)*((1+Assumptions!$B$19)^($M14-Assumptions!$B$18)))*(1+Assumptions!$B$20))*(1+(Assumptions!$B$21+Assumptions!$B$22)))*(1+Assumptions!$B$23)</f>
        <v>0</v>
      </c>
      <c r="W14" s="4">
        <f>(((IF($M14=VALUE(RIGHT(W$2,4)),$J14,0)*((1+Assumptions!$B$19)^($M14-Assumptions!$B$18)))*(1+Assumptions!$B$20))*(1+(Assumptions!$B$21+Assumptions!$B$22)))*(1+Assumptions!$B$23)</f>
        <v>0</v>
      </c>
      <c r="X14" s="4">
        <f>(((IF($M14=VALUE(RIGHT(X$2,4)),$J14,0)*((1+Assumptions!$B$19)^($M14-Assumptions!$B$18)))*(1+Assumptions!$B$20))*(1+(Assumptions!$B$21+Assumptions!$B$22)))*(1+Assumptions!$B$23)</f>
        <v>0</v>
      </c>
      <c r="Y14" s="4">
        <f>(((IF($M14=VALUE(RIGHT(Y$2,4)),$J14,0)*((1+Assumptions!$B$19)^($M14-Assumptions!$B$18)))*(1+Assumptions!$B$20))*(1+(Assumptions!$B$21+Assumptions!$B$22)))*(1+Assumptions!$B$23)</f>
        <v>0</v>
      </c>
      <c r="Z14" s="4">
        <f>(((IF($M14=VALUE(RIGHT(Z$2,4)),$J14,0)*((1+Assumptions!$B$19)^($M14-Assumptions!$B$18)))*(1+Assumptions!$B$20))*(1+(Assumptions!$B$21+Assumptions!$B$22)))*(1+Assumptions!$B$23)</f>
        <v>0</v>
      </c>
      <c r="AA14" s="4">
        <f>(((IF($M14=VALUE(RIGHT(AA$2,4)),$J14,0)*((1+Assumptions!$B$19)^($M14-Assumptions!$B$18)))*(1+Assumptions!$B$20))*(1+(Assumptions!$B$21+Assumptions!$B$22)))*(1+Assumptions!$B$23)</f>
        <v>0</v>
      </c>
      <c r="AB14" s="4">
        <f>(((IF($M14=VALUE(RIGHT(AB$2,4)),$J14,0)*((1+Assumptions!$B$19)^($M14-Assumptions!$B$18)))*(1+Assumptions!$B$20))*(1+(Assumptions!$B$21+Assumptions!$B$22)))*(1+Assumptions!$B$23)</f>
        <v>0</v>
      </c>
    </row>
    <row r="15" spans="1:28" ht="12.75">
      <c r="A15" s="25">
        <v>13</v>
      </c>
      <c r="B15" s="52" t="s">
        <v>39</v>
      </c>
      <c r="C15" s="52" t="s">
        <v>173</v>
      </c>
      <c r="D15" s="3" t="s">
        <v>143</v>
      </c>
      <c r="E15" s="3" t="s">
        <v>139</v>
      </c>
      <c r="F15" t="s">
        <v>56</v>
      </c>
      <c r="G15" s="4">
        <f>LOOKUP(B15,'Heery Data'!$B$3:$B$52,'Heery Data'!$C$3:$C$52)</f>
        <v>1819841</v>
      </c>
      <c r="H15" s="4">
        <f>IF(F15="New",LOOKUP(D15,Assumptions!$A$12:$A$15,Assumptions!$B$12:$B$15)*LOOKUP(E15,Assumptions!$A$2:$A$9,Assumptions!$C$2:$C$9),0)</f>
        <v>0</v>
      </c>
      <c r="I15" s="51">
        <f>IF(F15="New",LOOKUP(E15,Assumptions!$A$2:$A$9,Assumptions!$B$2:$B$9),I15)</f>
        <v>0</v>
      </c>
      <c r="J15" s="50">
        <v>0</v>
      </c>
      <c r="K15" s="84"/>
      <c r="L15" s="4">
        <f>IF(F15="New",0,(G15*((1+Assumptions!$B$19)^($M15-Assumptions!$B$18))*(1+Assumptions!$B$20)*(1+(Assumptions!$B$21+Assumptions!$B$22))*(1+Assumptions!$B$23))-(J15*((1+Assumptions!$B$19)^($M15-Assumptions!$B$18))*(1+Assumptions!$B$20)*(1+(Assumptions!$B$21+Assumptions!$B$22))*(1+Assumptions!$B$23)))</f>
        <v>1819841</v>
      </c>
      <c r="M15" s="3">
        <v>2005</v>
      </c>
      <c r="N15" s="4">
        <f>2273+42217</f>
        <v>44490</v>
      </c>
      <c r="O15" s="4">
        <f>41511+24357+439038</f>
        <v>504906</v>
      </c>
      <c r="P15" s="4">
        <f>107964+7816</f>
        <v>115780</v>
      </c>
      <c r="Q15" s="4">
        <f>(((IF($M15=VALUE(RIGHT(Q$2,4)),$J15,0)*((1+Assumptions!$B$19)^($M15-Assumptions!$B$18)))*(1+Assumptions!$B$20))*(1+(Assumptions!$B$21+Assumptions!$B$22)))*(1+Assumptions!$B$23)</f>
        <v>0</v>
      </c>
      <c r="R15" s="4">
        <f>(((IF($M15=VALUE(RIGHT(R$2,4)),$J15,0)*((1+Assumptions!$B$19)^($M15-Assumptions!$B$18)))*(1+Assumptions!$B$20))*(1+(Assumptions!$B$21+Assumptions!$B$22)))*(1+Assumptions!$B$23)</f>
        <v>0</v>
      </c>
      <c r="S15" s="4">
        <f>(((IF($M15=VALUE(RIGHT(S$2,4)),$J15,0)*((1+Assumptions!$B$19)^($M15-Assumptions!$B$18)))*(1+Assumptions!$B$20))*(1+(Assumptions!$B$21+Assumptions!$B$22)))*(1+Assumptions!$B$23)</f>
        <v>0</v>
      </c>
      <c r="T15" s="4">
        <f>(((IF($M15=VALUE(RIGHT(T$2,4)),$J15,0)*((1+Assumptions!$B$19)^($M15-Assumptions!$B$18)))*(1+Assumptions!$B$20))*(1+(Assumptions!$B$21+Assumptions!$B$22)))*(1+Assumptions!$B$23)</f>
        <v>0</v>
      </c>
      <c r="U15" s="4">
        <f>(((IF($M15=VALUE(RIGHT(U$2,4)),$J15,0)*((1+Assumptions!$B$19)^($M15-Assumptions!$B$18)))*(1+Assumptions!$B$20))*(1+(Assumptions!$B$21+Assumptions!$B$22)))*(1+Assumptions!$B$23)</f>
        <v>0</v>
      </c>
      <c r="V15" s="4">
        <f>(((IF($M15=VALUE(RIGHT(V$2,4)),$J15,0)*((1+Assumptions!$B$19)^($M15-Assumptions!$B$18)))*(1+Assumptions!$B$20))*(1+(Assumptions!$B$21+Assumptions!$B$22)))*(1+Assumptions!$B$23)</f>
        <v>0</v>
      </c>
      <c r="W15" s="4">
        <f>(((IF($M15=VALUE(RIGHT(W$2,4)),$J15,0)*((1+Assumptions!$B$19)^($M15-Assumptions!$B$18)))*(1+Assumptions!$B$20))*(1+(Assumptions!$B$21+Assumptions!$B$22)))*(1+Assumptions!$B$23)</f>
        <v>0</v>
      </c>
      <c r="X15" s="4">
        <f>(((IF($M15=VALUE(RIGHT(X$2,4)),$J15,0)*((1+Assumptions!$B$19)^($M15-Assumptions!$B$18)))*(1+Assumptions!$B$20))*(1+(Assumptions!$B$21+Assumptions!$B$22)))*(1+Assumptions!$B$23)</f>
        <v>0</v>
      </c>
      <c r="Y15" s="4">
        <f>(((IF($M15=VALUE(RIGHT(Y$2,4)),$J15,0)*((1+Assumptions!$B$19)^($M15-Assumptions!$B$18)))*(1+Assumptions!$B$20))*(1+(Assumptions!$B$21+Assumptions!$B$22)))*(1+Assumptions!$B$23)</f>
        <v>0</v>
      </c>
      <c r="Z15" s="4">
        <f>(((IF($M15=VALUE(RIGHT(Z$2,4)),$J15,0)*((1+Assumptions!$B$19)^($M15-Assumptions!$B$18)))*(1+Assumptions!$B$20))*(1+(Assumptions!$B$21+Assumptions!$B$22)))*(1+Assumptions!$B$23)</f>
        <v>0</v>
      </c>
      <c r="AA15" s="4">
        <f>(((IF($M15=VALUE(RIGHT(AA$2,4)),$J15,0)*((1+Assumptions!$B$19)^($M15-Assumptions!$B$18)))*(1+Assumptions!$B$20))*(1+(Assumptions!$B$21+Assumptions!$B$22)))*(1+Assumptions!$B$23)</f>
        <v>0</v>
      </c>
      <c r="AB15" s="4">
        <f>(((IF($M15=VALUE(RIGHT(AB$2,4)),$J15,0)*((1+Assumptions!$B$19)^($M15-Assumptions!$B$18)))*(1+Assumptions!$B$20))*(1+(Assumptions!$B$21+Assumptions!$B$22)))*(1+Assumptions!$B$23)</f>
        <v>0</v>
      </c>
    </row>
    <row r="16" spans="1:28" s="25" customFormat="1" ht="12.75">
      <c r="A16" s="13" t="s">
        <v>146</v>
      </c>
      <c r="B16" s="57" t="s">
        <v>39</v>
      </c>
      <c r="C16" s="57" t="s">
        <v>173</v>
      </c>
      <c r="D16" s="58" t="s">
        <v>143</v>
      </c>
      <c r="E16" s="58" t="s">
        <v>139</v>
      </c>
      <c r="F16" s="13" t="s">
        <v>59</v>
      </c>
      <c r="G16" s="59">
        <f>LOOKUP(B16,'Heery Data'!$B$3:$B$52,'Heery Data'!$C$3:$C$52)</f>
        <v>1819841</v>
      </c>
      <c r="H16" s="59">
        <v>150000</v>
      </c>
      <c r="I16" s="60">
        <f>IF(F16="New",LOOKUP(E16,Assumptions!$A$2:$A$9,Assumptions!$B$2:$B$9),I16)</f>
        <v>1424020</v>
      </c>
      <c r="J16" s="61">
        <f>IF(F16="New",LOOKUP(E16,Assumptions!$A$2:$A$9,Assumptions!$B$2:$B$9),#REF!)+H16</f>
        <v>1574020</v>
      </c>
      <c r="K16" s="85"/>
      <c r="L16" s="59">
        <f>IF(F16="New",0,(G16*((1+Assumptions!$B$19)^($M16-Assumptions!$B$18))*(1+Assumptions!$B$20)*(1+(Assumptions!$B$21+Assumptions!$B$22))*(1+Assumptions!$B$23))-(J16*((1+Assumptions!$B$19)^($M16-Assumptions!$B$18))*(1+Assumptions!$B$20)*(1+(Assumptions!$B$21+Assumptions!$B$22))*(1+Assumptions!$B$23)))</f>
        <v>0</v>
      </c>
      <c r="M16" s="58">
        <v>2010</v>
      </c>
      <c r="N16" s="59">
        <f>(((IF($M16=VALUE(RIGHT(N$2,4)),$J16,0)*((1+Assumptions!$B$19)^($M16-Assumptions!$B$18)))*(1+Assumptions!$B$20))*(1+(Assumptions!$B$21+Assumptions!$B$22)))*(1+Assumptions!$B$23)</f>
        <v>0</v>
      </c>
      <c r="O16" s="59">
        <f>(((IF($M16=VALUE(RIGHT(O$2,4)),$J16,0)*((1+Assumptions!$B$19)^($M16-Assumptions!$B$18)))*(1+Assumptions!$B$20))*(1+(Assumptions!$B$21+Assumptions!$B$22)))*(1+Assumptions!$B$23)</f>
        <v>0</v>
      </c>
      <c r="P16" s="59">
        <v>0</v>
      </c>
      <c r="Q16" s="59">
        <f>(((IF($M16=VALUE(RIGHT(Q$2,4)),$J16,0)*((1+Assumptions!$B$19)^($M16-Assumptions!$B$18)))*(1+Assumptions!$B$20))*(1+(Assumptions!$B$21+Assumptions!$B$22)))*(1+Assumptions!$B$23)</f>
        <v>0</v>
      </c>
      <c r="R16" s="59">
        <f>(((IF($M16=VALUE(RIGHT(R$2,4)),$J16,0)*((1+Assumptions!$B$19)^($M16-Assumptions!$B$18)))*(1+Assumptions!$B$20))*(1+(Assumptions!$B$21+Assumptions!$B$22)))*(1+Assumptions!$B$23)</f>
        <v>0</v>
      </c>
      <c r="S16" s="59">
        <v>787010</v>
      </c>
      <c r="T16" s="59">
        <f>((((IF($M16=VALUE(RIGHT(T$2,4)),$J16,0)*((1+Assumptions!$B$19)^($M16-Assumptions!$B$18)))*(1+Assumptions!$B$20))*(1+(Assumptions!$B$21+Assumptions!$B$22)))*(1+Assumptions!$B$23))/2</f>
        <v>787010</v>
      </c>
      <c r="U16" s="59">
        <f>(((IF($M16=VALUE(RIGHT(U$2,4)),$J16,0)*((1+Assumptions!$B$19)^($M16-Assumptions!$B$18)))*(1+Assumptions!$B$20))*(1+(Assumptions!$B$21+Assumptions!$B$22)))*(1+Assumptions!$B$23)</f>
        <v>0</v>
      </c>
      <c r="V16" s="59">
        <f>(((IF($M16=VALUE(RIGHT(V$2,4)),$J16,0)*((1+Assumptions!$B$19)^($M16-Assumptions!$B$18)))*(1+Assumptions!$B$20))*(1+(Assumptions!$B$21+Assumptions!$B$22)))*(1+Assumptions!$B$23)</f>
        <v>0</v>
      </c>
      <c r="W16" s="59">
        <f>(((IF($M16=VALUE(RIGHT(W$2,4)),$J16,0)*((1+Assumptions!$B$19)^($M16-Assumptions!$B$18)))*(1+Assumptions!$B$20))*(1+(Assumptions!$B$21+Assumptions!$B$22)))*(1+Assumptions!$B$23)</f>
        <v>0</v>
      </c>
      <c r="X16" s="59">
        <f>(((IF($M16=VALUE(RIGHT(X$2,4)),$J16,0)*((1+Assumptions!$B$19)^($M16-Assumptions!$B$18)))*(1+Assumptions!$B$20))*(1+(Assumptions!$B$21+Assumptions!$B$22)))*(1+Assumptions!$B$23)</f>
        <v>0</v>
      </c>
      <c r="Y16" s="59">
        <f>(((IF($M16=VALUE(RIGHT(Y$2,4)),$J16,0)*((1+Assumptions!$B$19)^($M16-Assumptions!$B$18)))*(1+Assumptions!$B$20))*(1+(Assumptions!$B$21+Assumptions!$B$22)))*(1+Assumptions!$B$23)</f>
        <v>0</v>
      </c>
      <c r="Z16" s="59">
        <f>(((IF($M16=VALUE(RIGHT(Z$2,4)),$J16,0)*((1+Assumptions!$B$19)^($M16-Assumptions!$B$18)))*(1+Assumptions!$B$20))*(1+(Assumptions!$B$21+Assumptions!$B$22)))*(1+Assumptions!$B$23)</f>
        <v>0</v>
      </c>
      <c r="AA16" s="59">
        <f>(((IF($M16=VALUE(RIGHT(AA$2,4)),$J16,0)*((1+Assumptions!$B$19)^($M16-Assumptions!$B$18)))*(1+Assumptions!$B$20))*(1+(Assumptions!$B$21+Assumptions!$B$22)))*(1+Assumptions!$B$23)</f>
        <v>0</v>
      </c>
      <c r="AB16" s="59">
        <f>(((IF($M16=VALUE(RIGHT(AB$2,4)),$J16,0)*((1+Assumptions!$B$19)^($M16-Assumptions!$B$18)))*(1+Assumptions!$B$20))*(1+(Assumptions!$B$21+Assumptions!$B$22)))*(1+Assumptions!$B$23)</f>
        <v>0</v>
      </c>
    </row>
    <row r="17" spans="1:28" ht="12.75">
      <c r="A17" s="25">
        <v>20</v>
      </c>
      <c r="B17" s="52" t="s">
        <v>26</v>
      </c>
      <c r="C17" s="52" t="s">
        <v>173</v>
      </c>
      <c r="D17" s="3" t="s">
        <v>142</v>
      </c>
      <c r="E17" s="3" t="s">
        <v>138</v>
      </c>
      <c r="F17" t="s">
        <v>60</v>
      </c>
      <c r="G17" s="4">
        <f>LOOKUP(B17,'Heery Data'!$B$3:$B$52,'Heery Data'!$C$3:$C$52)</f>
        <v>386971</v>
      </c>
      <c r="H17" s="4">
        <f>IF(F17="New",LOOKUP(D17,Assumptions!$A$12:$A$15,Assumptions!$B$12:$B$15)*LOOKUP(E17,Assumptions!$A$2:$A$9,Assumptions!$C$2:$C$9),0)</f>
        <v>0</v>
      </c>
      <c r="I17" s="51">
        <f>IF(F17="New",LOOKUP(E17,Assumptions!$A$2:$A$9,Assumptions!$B$2:$B$9),I17)</f>
        <v>0</v>
      </c>
      <c r="J17" s="80">
        <v>0</v>
      </c>
      <c r="K17" s="86"/>
      <c r="L17" s="4">
        <f>IF(F17="New",0,(G17*((1+Assumptions!$B$19)^($M17-Assumptions!$B$18))*(1+Assumptions!$B$20)*(1+(Assumptions!$B$21+Assumptions!$B$22))*(1+Assumptions!$B$23))-(J17*((1+Assumptions!$B$19)^($M17-Assumptions!$B$18))*(1+Assumptions!$B$20)*(1+(Assumptions!$B$21+Assumptions!$B$22))*(1+Assumptions!$B$23)))</f>
        <v>386971</v>
      </c>
      <c r="M17" s="3">
        <v>2005</v>
      </c>
      <c r="N17" s="4">
        <f>9163+12785</f>
        <v>21948</v>
      </c>
      <c r="O17" s="4">
        <f>7705+28412</f>
        <v>36117</v>
      </c>
      <c r="P17" s="4">
        <v>127852</v>
      </c>
      <c r="Q17" s="4">
        <f>(((IF($M17=VALUE(RIGHT(Q$2,4)),$J17,0)*((1+Assumptions!$B$19)^($M17-Assumptions!$B$18)))*(1+Assumptions!$B$20))*(1+(Assumptions!$B$21+Assumptions!$B$22)))*(1+Assumptions!$B$23)</f>
        <v>0</v>
      </c>
      <c r="R17" s="4">
        <f>(((IF($M17=VALUE(RIGHT(R$2,4)),$J17,0)*((1+Assumptions!$B$19)^($M17-Assumptions!$B$18)))*(1+Assumptions!$B$20))*(1+(Assumptions!$B$21+Assumptions!$B$22)))*(1+Assumptions!$B$23)</f>
        <v>0</v>
      </c>
      <c r="S17" s="4">
        <f>(((IF($M17=VALUE(RIGHT(S$2,4)),$J17,0)*((1+Assumptions!$B$19)^($M17-Assumptions!$B$18)))*(1+Assumptions!$B$20))*(1+(Assumptions!$B$21+Assumptions!$B$22)))*(1+Assumptions!$B$23)</f>
        <v>0</v>
      </c>
      <c r="T17" s="4">
        <f>(((IF($M17=VALUE(RIGHT(T$2,4)),$J17,0)*((1+Assumptions!$B$19)^($M17-Assumptions!$B$18)))*(1+Assumptions!$B$20))*(1+(Assumptions!$B$21+Assumptions!$B$22)))*(1+Assumptions!$B$23)</f>
        <v>0</v>
      </c>
      <c r="U17" s="4">
        <f>(((IF($M17=VALUE(RIGHT(U$2,4)),$J17,0)*((1+Assumptions!$B$19)^($M17-Assumptions!$B$18)))*(1+Assumptions!$B$20))*(1+(Assumptions!$B$21+Assumptions!$B$22)))*(1+Assumptions!$B$23)</f>
        <v>0</v>
      </c>
      <c r="V17" s="4">
        <f>(((IF($M17=VALUE(RIGHT(V$2,4)),$J17,0)*((1+Assumptions!$B$19)^($M17-Assumptions!$B$18)))*(1+Assumptions!$B$20))*(1+(Assumptions!$B$21+Assumptions!$B$22)))*(1+Assumptions!$B$23)</f>
        <v>0</v>
      </c>
      <c r="W17" s="4">
        <f>(((IF($M17=VALUE(RIGHT(W$2,4)),$J17,0)*((1+Assumptions!$B$19)^($M17-Assumptions!$B$18)))*(1+Assumptions!$B$20))*(1+(Assumptions!$B$21+Assumptions!$B$22)))*(1+Assumptions!$B$23)</f>
        <v>0</v>
      </c>
      <c r="X17" s="4">
        <f>(((IF($M17=VALUE(RIGHT(X$2,4)),$J17,0)*((1+Assumptions!$B$19)^($M17-Assumptions!$B$18)))*(1+Assumptions!$B$20))*(1+(Assumptions!$B$21+Assumptions!$B$22)))*(1+Assumptions!$B$23)</f>
        <v>0</v>
      </c>
      <c r="Y17" s="4">
        <f>(((IF($M17=VALUE(RIGHT(Y$2,4)),$J17,0)*((1+Assumptions!$B$19)^($M17-Assumptions!$B$18)))*(1+Assumptions!$B$20))*(1+(Assumptions!$B$21+Assumptions!$B$22)))*(1+Assumptions!$B$23)</f>
        <v>0</v>
      </c>
      <c r="Z17" s="4">
        <f>(((IF($M17=VALUE(RIGHT(Z$2,4)),$J17,0)*((1+Assumptions!$B$19)^($M17-Assumptions!$B$18)))*(1+Assumptions!$B$20))*(1+(Assumptions!$B$21+Assumptions!$B$22)))*(1+Assumptions!$B$23)</f>
        <v>0</v>
      </c>
      <c r="AA17" s="4">
        <f>(((IF($M17=VALUE(RIGHT(AA$2,4)),$J17,0)*((1+Assumptions!$B$19)^($M17-Assumptions!$B$18)))*(1+Assumptions!$B$20))*(1+(Assumptions!$B$21+Assumptions!$B$22)))*(1+Assumptions!$B$23)</f>
        <v>0</v>
      </c>
      <c r="AB17" s="4">
        <f>(((IF($M17=VALUE(RIGHT(AB$2,4)),$J17,0)*((1+Assumptions!$B$19)^($M17-Assumptions!$B$18)))*(1+Assumptions!$B$20))*(1+(Assumptions!$B$21+Assumptions!$B$22)))*(1+Assumptions!$B$23)</f>
        <v>0</v>
      </c>
    </row>
    <row r="18" spans="1:28" ht="12.75">
      <c r="A18" s="25">
        <v>34</v>
      </c>
      <c r="B18" s="52" t="s">
        <v>27</v>
      </c>
      <c r="C18" s="52" t="s">
        <v>173</v>
      </c>
      <c r="D18" s="3" t="s">
        <v>142</v>
      </c>
      <c r="E18" s="3" t="s">
        <v>139</v>
      </c>
      <c r="F18" t="s">
        <v>60</v>
      </c>
      <c r="G18" s="4">
        <f>LOOKUP(B18,'Heery Data'!$B$3:$B$52,'Heery Data'!$C$3:$C$52)</f>
        <v>1898251</v>
      </c>
      <c r="H18" s="4">
        <f>IF(F18="New",LOOKUP(D18,Assumptions!$A$12:$A$15,Assumptions!$B$12:$B$15)*LOOKUP(E18,Assumptions!$A$2:$A$9,Assumptions!$C$2:$C$9),0)</f>
        <v>0</v>
      </c>
      <c r="I18" s="51">
        <f>IF(F18="New",LOOKUP(E18,Assumptions!$A$2:$A$9,Assumptions!$B$2:$B$9),I18)</f>
        <v>0</v>
      </c>
      <c r="J18" s="80">
        <v>0</v>
      </c>
      <c r="K18" s="86"/>
      <c r="L18" s="4">
        <f>IF(F18="New",0,(G18*((1+Assumptions!$B$19)^($M18-Assumptions!$B$18))*(1+Assumptions!$B$20)*(1+(Assumptions!$B$21+Assumptions!$B$22))*(1+Assumptions!$B$23))-(J18*((1+Assumptions!$B$19)^($M18-Assumptions!$B$18))*(1+Assumptions!$B$20)*(1+(Assumptions!$B$21+Assumptions!$B$22))*(1+Assumptions!$B$23)))</f>
        <v>1898251</v>
      </c>
      <c r="M18" s="3">
        <v>2005</v>
      </c>
      <c r="N18" s="4">
        <v>34353</v>
      </c>
      <c r="O18" s="4">
        <f>26431+512493</f>
        <v>538924</v>
      </c>
      <c r="P18" s="4">
        <f>34094+3033</f>
        <v>37127</v>
      </c>
      <c r="Q18" s="4">
        <f>(((IF($M18=VALUE(RIGHT(Q$2,4)),$J18,0)*((1+Assumptions!$B$19)^($M18-Assumptions!$B$18)))*(1+Assumptions!$B$20))*(1+(Assumptions!$B$21+Assumptions!$B$22)))*(1+Assumptions!$B$23)</f>
        <v>0</v>
      </c>
      <c r="R18" s="4">
        <f>(((IF($M18=VALUE(RIGHT(R$2,4)),$J18,0)*((1+Assumptions!$B$19)^($M18-Assumptions!$B$18)))*(1+Assumptions!$B$20))*(1+(Assumptions!$B$21+Assumptions!$B$22)))*(1+Assumptions!$B$23)</f>
        <v>0</v>
      </c>
      <c r="S18" s="4">
        <f>(((IF($M18=VALUE(RIGHT(S$2,4)),$J18,0)*((1+Assumptions!$B$19)^($M18-Assumptions!$B$18)))*(1+Assumptions!$B$20))*(1+(Assumptions!$B$21+Assumptions!$B$22)))*(1+Assumptions!$B$23)</f>
        <v>0</v>
      </c>
      <c r="T18" s="4">
        <f>(((IF($M18=VALUE(RIGHT(T$2,4)),$J18,0)*((1+Assumptions!$B$19)^($M18-Assumptions!$B$18)))*(1+Assumptions!$B$20))*(1+(Assumptions!$B$21+Assumptions!$B$22)))*(1+Assumptions!$B$23)</f>
        <v>0</v>
      </c>
      <c r="U18" s="4">
        <f>(((IF($M18=VALUE(RIGHT(U$2,4)),$J18,0)*((1+Assumptions!$B$19)^($M18-Assumptions!$B$18)))*(1+Assumptions!$B$20))*(1+(Assumptions!$B$21+Assumptions!$B$22)))*(1+Assumptions!$B$23)</f>
        <v>0</v>
      </c>
      <c r="V18" s="4">
        <f>(((IF($M18=VALUE(RIGHT(V$2,4)),$J18,0)*((1+Assumptions!$B$19)^($M18-Assumptions!$B$18)))*(1+Assumptions!$B$20))*(1+(Assumptions!$B$21+Assumptions!$B$22)))*(1+Assumptions!$B$23)</f>
        <v>0</v>
      </c>
      <c r="W18" s="4">
        <f>(((IF($M18=VALUE(RIGHT(W$2,4)),$J18,0)*((1+Assumptions!$B$19)^($M18-Assumptions!$B$18)))*(1+Assumptions!$B$20))*(1+(Assumptions!$B$21+Assumptions!$B$22)))*(1+Assumptions!$B$23)</f>
        <v>0</v>
      </c>
      <c r="X18" s="4">
        <f>(((IF($M18=VALUE(RIGHT(X$2,4)),$J18,0)*((1+Assumptions!$B$19)^($M18-Assumptions!$B$18)))*(1+Assumptions!$B$20))*(1+(Assumptions!$B$21+Assumptions!$B$22)))*(1+Assumptions!$B$23)</f>
        <v>0</v>
      </c>
      <c r="Y18" s="4">
        <f>(((IF($M18=VALUE(RIGHT(Y$2,4)),$J18,0)*((1+Assumptions!$B$19)^($M18-Assumptions!$B$18)))*(1+Assumptions!$B$20))*(1+(Assumptions!$B$21+Assumptions!$B$22)))*(1+Assumptions!$B$23)</f>
        <v>0</v>
      </c>
      <c r="Z18" s="4">
        <f>(((IF($M18=VALUE(RIGHT(Z$2,4)),$J18,0)*((1+Assumptions!$B$19)^($M18-Assumptions!$B$18)))*(1+Assumptions!$B$20))*(1+(Assumptions!$B$21+Assumptions!$B$22)))*(1+Assumptions!$B$23)</f>
        <v>0</v>
      </c>
      <c r="AA18" s="4">
        <f>(((IF($M18=VALUE(RIGHT(AA$2,4)),$J18,0)*((1+Assumptions!$B$19)^($M18-Assumptions!$B$18)))*(1+Assumptions!$B$20))*(1+(Assumptions!$B$21+Assumptions!$B$22)))*(1+Assumptions!$B$23)</f>
        <v>0</v>
      </c>
      <c r="AB18" s="4">
        <f>(((IF($M18=VALUE(RIGHT(AB$2,4)),$J18,0)*((1+Assumptions!$B$19)^($M18-Assumptions!$B$18)))*(1+Assumptions!$B$20))*(1+(Assumptions!$B$21+Assumptions!$B$22)))*(1+Assumptions!$B$23)</f>
        <v>0</v>
      </c>
    </row>
    <row r="19" spans="1:28" ht="12.75">
      <c r="A19" s="25">
        <v>21</v>
      </c>
      <c r="B19" s="52" t="s">
        <v>28</v>
      </c>
      <c r="C19" s="52" t="s">
        <v>173</v>
      </c>
      <c r="D19" s="3" t="s">
        <v>144</v>
      </c>
      <c r="E19" s="3" t="s">
        <v>138</v>
      </c>
      <c r="F19" t="s">
        <v>56</v>
      </c>
      <c r="G19" s="4">
        <f>LOOKUP(B19,'Heery Data'!$B$3:$B$52,'Heery Data'!$C$3:$C$52)</f>
        <v>564242</v>
      </c>
      <c r="H19" s="4">
        <f>IF(F19="New",LOOKUP(D19,Assumptions!$A$12:$A$15,Assumptions!$B$12:$B$15)*LOOKUP(E19,Assumptions!$A$2:$A$9,Assumptions!$C$2:$C$9),0)</f>
        <v>0</v>
      </c>
      <c r="I19" s="51">
        <f>IF(F19="New",LOOKUP(E19,Assumptions!$A$2:$A$9,Assumptions!$B$2:$B$9),I19)</f>
        <v>0</v>
      </c>
      <c r="J19" s="80">
        <v>0</v>
      </c>
      <c r="K19" s="86"/>
      <c r="L19" s="4">
        <f>IF(F19="New",0,(G19*((1+Assumptions!$B$19)^($M19-Assumptions!$B$18))*(1+Assumptions!$B$20)*(1+(Assumptions!$B$21+Assumptions!$B$22))*(1+Assumptions!$B$23))-(J19*((1+Assumptions!$B$19)^($M19-Assumptions!$B$18))*(1+Assumptions!$B$20)*(1+(Assumptions!$B$21+Assumptions!$B$22))*(1+Assumptions!$B$23)))</f>
        <v>564242</v>
      </c>
      <c r="M19" s="3">
        <v>2004</v>
      </c>
      <c r="N19" s="4">
        <v>8913</v>
      </c>
      <c r="O19" s="4">
        <f>149584+38356</f>
        <v>187940</v>
      </c>
      <c r="P19" s="4">
        <f>45458+8965</f>
        <v>54423</v>
      </c>
      <c r="Q19" s="4">
        <f>(((IF($M19=VALUE(RIGHT(Q$2,4)),$J19,0)*((1+Assumptions!$B$19)^($M19-Assumptions!$B$18)))*(1+Assumptions!$B$20))*(1+(Assumptions!$B$21+Assumptions!$B$22)))*(1+Assumptions!$B$23)</f>
        <v>0</v>
      </c>
      <c r="R19" s="4">
        <f>(((IF($M19=VALUE(RIGHT(R$2,4)),$J19,0)*((1+Assumptions!$B$19)^($M19-Assumptions!$B$18)))*(1+Assumptions!$B$20))*(1+(Assumptions!$B$21+Assumptions!$B$22)))*(1+Assumptions!$B$23)</f>
        <v>0</v>
      </c>
      <c r="S19" s="4">
        <f>(((IF($M19=VALUE(RIGHT(S$2,4)),$J19,0)*((1+Assumptions!$B$19)^($M19-Assumptions!$B$18)))*(1+Assumptions!$B$20))*(1+(Assumptions!$B$21+Assumptions!$B$22)))*(1+Assumptions!$B$23)</f>
        <v>0</v>
      </c>
      <c r="T19" s="4">
        <f>(((IF($M19=VALUE(RIGHT(T$2,4)),$J19,0)*((1+Assumptions!$B$19)^($M19-Assumptions!$B$18)))*(1+Assumptions!$B$20))*(1+(Assumptions!$B$21+Assumptions!$B$22)))*(1+Assumptions!$B$23)</f>
        <v>0</v>
      </c>
      <c r="U19" s="4">
        <f>(((IF($M19=VALUE(RIGHT(U$2,4)),$J19,0)*((1+Assumptions!$B$19)^($M19-Assumptions!$B$18)))*(1+Assumptions!$B$20))*(1+(Assumptions!$B$21+Assumptions!$B$22)))*(1+Assumptions!$B$23)</f>
        <v>0</v>
      </c>
      <c r="V19" s="4">
        <f>(((IF($M19=VALUE(RIGHT(V$2,4)),$J19,0)*((1+Assumptions!$B$19)^($M19-Assumptions!$B$18)))*(1+Assumptions!$B$20))*(1+(Assumptions!$B$21+Assumptions!$B$22)))*(1+Assumptions!$B$23)</f>
        <v>0</v>
      </c>
      <c r="W19" s="4">
        <f>(((IF($M19=VALUE(RIGHT(W$2,4)),$J19,0)*((1+Assumptions!$B$19)^($M19-Assumptions!$B$18)))*(1+Assumptions!$B$20))*(1+(Assumptions!$B$21+Assumptions!$B$22)))*(1+Assumptions!$B$23)</f>
        <v>0</v>
      </c>
      <c r="X19" s="4">
        <f>(((IF($M19=VALUE(RIGHT(X$2,4)),$J19,0)*((1+Assumptions!$B$19)^($M19-Assumptions!$B$18)))*(1+Assumptions!$B$20))*(1+(Assumptions!$B$21+Assumptions!$B$22)))*(1+Assumptions!$B$23)</f>
        <v>0</v>
      </c>
      <c r="Y19" s="4">
        <f>(((IF($M19=VALUE(RIGHT(Y$2,4)),$J19,0)*((1+Assumptions!$B$19)^($M19-Assumptions!$B$18)))*(1+Assumptions!$B$20))*(1+(Assumptions!$B$21+Assumptions!$B$22)))*(1+Assumptions!$B$23)</f>
        <v>0</v>
      </c>
      <c r="Z19" s="4">
        <f>(((IF($M19=VALUE(RIGHT(Z$2,4)),$J19,0)*((1+Assumptions!$B$19)^($M19-Assumptions!$B$18)))*(1+Assumptions!$B$20))*(1+(Assumptions!$B$21+Assumptions!$B$22)))*(1+Assumptions!$B$23)</f>
        <v>0</v>
      </c>
      <c r="AA19" s="4">
        <f>(((IF($M19=VALUE(RIGHT(AA$2,4)),$J19,0)*((1+Assumptions!$B$19)^($M19-Assumptions!$B$18)))*(1+Assumptions!$B$20))*(1+(Assumptions!$B$21+Assumptions!$B$22)))*(1+Assumptions!$B$23)</f>
        <v>0</v>
      </c>
      <c r="AB19" s="4">
        <f>(((IF($M19=VALUE(RIGHT(AB$2,4)),$J19,0)*((1+Assumptions!$B$19)^($M19-Assumptions!$B$18)))*(1+Assumptions!$B$20))*(1+(Assumptions!$B$21+Assumptions!$B$22)))*(1+Assumptions!$B$23)</f>
        <v>0</v>
      </c>
    </row>
    <row r="20" spans="1:28" ht="12.75">
      <c r="A20" s="25">
        <v>33</v>
      </c>
      <c r="B20" s="52" t="s">
        <v>30</v>
      </c>
      <c r="C20" s="52" t="s">
        <v>172</v>
      </c>
      <c r="D20" s="3" t="s">
        <v>142</v>
      </c>
      <c r="E20" s="3" t="s">
        <v>138</v>
      </c>
      <c r="F20" t="s">
        <v>60</v>
      </c>
      <c r="G20" s="4">
        <f>LOOKUP(B20,'Heery Data'!$B$3:$B$52,'Heery Data'!$C$3:$C$52)</f>
        <v>1652087</v>
      </c>
      <c r="H20" s="4">
        <f>IF(F20="New",LOOKUP(D20,Assumptions!$A$12:$A$15,Assumptions!$B$12:$B$15)*LOOKUP(E20,Assumptions!$A$2:$A$9,Assumptions!$C$2:$C$9),0)</f>
        <v>0</v>
      </c>
      <c r="I20" s="51">
        <f>IF(F20="New",LOOKUP(E20,Assumptions!$A$2:$A$9,Assumptions!$B$2:$B$9),I20)</f>
        <v>0</v>
      </c>
      <c r="J20" s="80">
        <v>0</v>
      </c>
      <c r="K20" s="86"/>
      <c r="L20" s="4">
        <f>IF(F20="New",0,(G20*((1+Assumptions!$B$19)^($M20-Assumptions!$B$18))*(1+Assumptions!$B$20)*(1+(Assumptions!$B$21+Assumptions!$B$22))*(1+Assumptions!$B$23))-(J20*((1+Assumptions!$B$19)^($M20-Assumptions!$B$18))*(1+Assumptions!$B$20)*(1+(Assumptions!$B$21+Assumptions!$B$22))*(1+Assumptions!$B$23)))</f>
        <v>1652087</v>
      </c>
      <c r="M20" s="3">
        <v>2005</v>
      </c>
      <c r="N20" s="4">
        <f>33602+12075</f>
        <v>45677</v>
      </c>
      <c r="O20" s="4">
        <f>3867+3868</f>
        <v>7735</v>
      </c>
      <c r="P20" s="4">
        <f>458342+885</f>
        <v>459227</v>
      </c>
      <c r="Q20" s="4">
        <v>63926</v>
      </c>
      <c r="R20" s="4">
        <f>(((IF($M20=VALUE(RIGHT(R$2,4)),$J20,0)*((1+Assumptions!$B$19)^($M20-Assumptions!$B$18)))*(1+Assumptions!$B$20))*(1+(Assumptions!$B$21+Assumptions!$B$22)))*(1+Assumptions!$B$23)</f>
        <v>0</v>
      </c>
      <c r="S20" s="4">
        <f>(((IF($M20=VALUE(RIGHT(S$2,4)),$J20,0)*((1+Assumptions!$B$19)^($M20-Assumptions!$B$18)))*(1+Assumptions!$B$20))*(1+(Assumptions!$B$21+Assumptions!$B$22)))*(1+Assumptions!$B$23)</f>
        <v>0</v>
      </c>
      <c r="T20" s="4">
        <f>(((IF($M20=VALUE(RIGHT(T$2,4)),$J20,0)*((1+Assumptions!$B$19)^($M20-Assumptions!$B$18)))*(1+Assumptions!$B$20))*(1+(Assumptions!$B$21+Assumptions!$B$22)))*(1+Assumptions!$B$23)</f>
        <v>0</v>
      </c>
      <c r="U20" s="4">
        <f>(((IF($M20=VALUE(RIGHT(U$2,4)),$J20,0)*((1+Assumptions!$B$19)^($M20-Assumptions!$B$18)))*(1+Assumptions!$B$20))*(1+(Assumptions!$B$21+Assumptions!$B$22)))*(1+Assumptions!$B$23)</f>
        <v>0</v>
      </c>
      <c r="V20" s="4">
        <f>(((IF($M20=VALUE(RIGHT(V$2,4)),$J20,0)*((1+Assumptions!$B$19)^($M20-Assumptions!$B$18)))*(1+Assumptions!$B$20))*(1+(Assumptions!$B$21+Assumptions!$B$22)))*(1+Assumptions!$B$23)</f>
        <v>0</v>
      </c>
      <c r="W20" s="4">
        <f>(((IF($M20=VALUE(RIGHT(W$2,4)),$J20,0)*((1+Assumptions!$B$19)^($M20-Assumptions!$B$18)))*(1+Assumptions!$B$20))*(1+(Assumptions!$B$21+Assumptions!$B$22)))*(1+Assumptions!$B$23)</f>
        <v>0</v>
      </c>
      <c r="X20" s="4">
        <f>(((IF($M20=VALUE(RIGHT(X$2,4)),$J20,0)*((1+Assumptions!$B$19)^($M20-Assumptions!$B$18)))*(1+Assumptions!$B$20))*(1+(Assumptions!$B$21+Assumptions!$B$22)))*(1+Assumptions!$B$23)</f>
        <v>0</v>
      </c>
      <c r="Y20" s="4">
        <f>(((IF($M20=VALUE(RIGHT(Y$2,4)),$J20,0)*((1+Assumptions!$B$19)^($M20-Assumptions!$B$18)))*(1+Assumptions!$B$20))*(1+(Assumptions!$B$21+Assumptions!$B$22)))*(1+Assumptions!$B$23)</f>
        <v>0</v>
      </c>
      <c r="Z20" s="4">
        <f>(((IF($M20=VALUE(RIGHT(Z$2,4)),$J20,0)*((1+Assumptions!$B$19)^($M20-Assumptions!$B$18)))*(1+Assumptions!$B$20))*(1+(Assumptions!$B$21+Assumptions!$B$22)))*(1+Assumptions!$B$23)</f>
        <v>0</v>
      </c>
      <c r="AA20" s="4">
        <f>(((IF($M20=VALUE(RIGHT(AA$2,4)),$J20,0)*((1+Assumptions!$B$19)^($M20-Assumptions!$B$18)))*(1+Assumptions!$B$20))*(1+(Assumptions!$B$21+Assumptions!$B$22)))*(1+Assumptions!$B$23)</f>
        <v>0</v>
      </c>
      <c r="AB20" s="4">
        <f>(((IF($M20=VALUE(RIGHT(AB$2,4)),$J20,0)*((1+Assumptions!$B$19)^($M20-Assumptions!$B$18)))*(1+Assumptions!$B$20))*(1+(Assumptions!$B$21+Assumptions!$B$22)))*(1+Assumptions!$B$23)</f>
        <v>0</v>
      </c>
    </row>
    <row r="21" spans="1:28" ht="12.75">
      <c r="A21" s="25">
        <v>7</v>
      </c>
      <c r="B21" s="52" t="s">
        <v>31</v>
      </c>
      <c r="C21" s="52" t="s">
        <v>172</v>
      </c>
      <c r="D21" s="3" t="s">
        <v>142</v>
      </c>
      <c r="E21" s="3" t="s">
        <v>139</v>
      </c>
      <c r="F21" t="s">
        <v>60</v>
      </c>
      <c r="G21" s="4">
        <f>LOOKUP(B21,'Heery Data'!$B$3:$B$52,'Heery Data'!$C$3:$C$52)</f>
        <v>3122679</v>
      </c>
      <c r="H21" s="4">
        <f>IF(F21="New",LOOKUP(D21,Assumptions!$A$12:$A$15,Assumptions!$B$12:$B$15)*LOOKUP(E21,Assumptions!$A$2:$A$9,Assumptions!$C$2:$C$9),0)</f>
        <v>0</v>
      </c>
      <c r="I21" s="51">
        <f>IF(F21="New",LOOKUP(E21,Assumptions!$A$2:$A$9,Assumptions!$B$2:$B$9),I21)</f>
        <v>0</v>
      </c>
      <c r="J21" s="80">
        <v>0</v>
      </c>
      <c r="K21" s="86"/>
      <c r="L21" s="4">
        <f>IF(F21="New",0,(G21*((1+Assumptions!$B$19)^($M21-Assumptions!$B$18))*(1+Assumptions!$B$20)*(1+(Assumptions!$B$21+Assumptions!$B$22))*(1+Assumptions!$B$23))-(J21*((1+Assumptions!$B$19)^($M21-Assumptions!$B$18))*(1+Assumptions!$B$20)*(1+(Assumptions!$B$21+Assumptions!$B$22))*(1+Assumptions!$B$23)))</f>
        <v>3122679</v>
      </c>
      <c r="M21" s="3">
        <v>2005</v>
      </c>
      <c r="N21" s="4">
        <v>74772</v>
      </c>
      <c r="O21" s="4">
        <f>21974+13403</f>
        <v>35377</v>
      </c>
      <c r="P21" s="4">
        <f>191778+224517+6020</f>
        <v>422315</v>
      </c>
      <c r="Q21" s="4"/>
      <c r="R21" s="4">
        <f>(((IF($M21=VALUE(RIGHT(R$2,4)),$J21,0)*((1+Assumptions!$B$19)^($M21-Assumptions!$B$18)))*(1+Assumptions!$B$20))*(1+(Assumptions!$B$21+Assumptions!$B$22)))*(1+Assumptions!$B$23)</f>
        <v>0</v>
      </c>
      <c r="S21" s="4">
        <f>(((IF($M21=VALUE(RIGHT(S$2,4)),$J21,0)*((1+Assumptions!$B$19)^($M21-Assumptions!$B$18)))*(1+Assumptions!$B$20))*(1+(Assumptions!$B$21+Assumptions!$B$22)))*(1+Assumptions!$B$23)</f>
        <v>0</v>
      </c>
      <c r="T21" s="4">
        <f>(((IF($M21=VALUE(RIGHT(T$2,4)),$J21,0)*((1+Assumptions!$B$19)^($M21-Assumptions!$B$18)))*(1+Assumptions!$B$20))*(1+(Assumptions!$B$21+Assumptions!$B$22)))*(1+Assumptions!$B$23)</f>
        <v>0</v>
      </c>
      <c r="U21" s="4">
        <f>(((IF($M21=VALUE(RIGHT(U$2,4)),$J21,0)*((1+Assumptions!$B$19)^($M21-Assumptions!$B$18)))*(1+Assumptions!$B$20))*(1+(Assumptions!$B$21+Assumptions!$B$22)))*(1+Assumptions!$B$23)</f>
        <v>0</v>
      </c>
      <c r="V21" s="4">
        <f>(((IF($M21=VALUE(RIGHT(V$2,4)),$J21,0)*((1+Assumptions!$B$19)^($M21-Assumptions!$B$18)))*(1+Assumptions!$B$20))*(1+(Assumptions!$B$21+Assumptions!$B$22)))*(1+Assumptions!$B$23)</f>
        <v>0</v>
      </c>
      <c r="W21" s="4">
        <f>(((IF($M21=VALUE(RIGHT(W$2,4)),$J21,0)*((1+Assumptions!$B$19)^($M21-Assumptions!$B$18)))*(1+Assumptions!$B$20))*(1+(Assumptions!$B$21+Assumptions!$B$22)))*(1+Assumptions!$B$23)</f>
        <v>0</v>
      </c>
      <c r="X21" s="4">
        <f>(((IF($M21=VALUE(RIGHT(X$2,4)),$J21,0)*((1+Assumptions!$B$19)^($M21-Assumptions!$B$18)))*(1+Assumptions!$B$20))*(1+(Assumptions!$B$21+Assumptions!$B$22)))*(1+Assumptions!$B$23)</f>
        <v>0</v>
      </c>
      <c r="Y21" s="4">
        <f>(((IF($M21=VALUE(RIGHT(Y$2,4)),$J21,0)*((1+Assumptions!$B$19)^($M21-Assumptions!$B$18)))*(1+Assumptions!$B$20))*(1+(Assumptions!$B$21+Assumptions!$B$22)))*(1+Assumptions!$B$23)</f>
        <v>0</v>
      </c>
      <c r="Z21" s="4">
        <f>(((IF($M21=VALUE(RIGHT(Z$2,4)),$J21,0)*((1+Assumptions!$B$19)^($M21-Assumptions!$B$18)))*(1+Assumptions!$B$20))*(1+(Assumptions!$B$21+Assumptions!$B$22)))*(1+Assumptions!$B$23)</f>
        <v>0</v>
      </c>
      <c r="AA21" s="4">
        <f>(((IF($M21=VALUE(RIGHT(AA$2,4)),$J21,0)*((1+Assumptions!$B$19)^($M21-Assumptions!$B$18)))*(1+Assumptions!$B$20))*(1+(Assumptions!$B$21+Assumptions!$B$22)))*(1+Assumptions!$B$23)</f>
        <v>0</v>
      </c>
      <c r="AB21" s="4">
        <f>(((IF($M21=VALUE(RIGHT(AB$2,4)),$J21,0)*((1+Assumptions!$B$19)^($M21-Assumptions!$B$18)))*(1+Assumptions!$B$20))*(1+(Assumptions!$B$21+Assumptions!$B$22)))*(1+Assumptions!$B$23)</f>
        <v>0</v>
      </c>
    </row>
    <row r="22" spans="1:28" ht="12.75">
      <c r="A22" s="25">
        <v>45</v>
      </c>
      <c r="B22" s="52" t="s">
        <v>74</v>
      </c>
      <c r="C22" s="52" t="s">
        <v>172</v>
      </c>
      <c r="D22" s="3" t="s">
        <v>142</v>
      </c>
      <c r="E22" s="3" t="s">
        <v>139</v>
      </c>
      <c r="F22" t="s">
        <v>60</v>
      </c>
      <c r="G22" s="4">
        <f>LOOKUP(B22,'Heery Data'!$B$3:$B$52,'Heery Data'!$C$3:$C$52)</f>
        <v>0</v>
      </c>
      <c r="H22" s="4">
        <f>IF(F22="New",LOOKUP(D22,Assumptions!$A$12:$A$15,Assumptions!$B$12:$B$15)*LOOKUP(E22,Assumptions!$A$2:$A$9,Assumptions!$C$2:$C$9),0)</f>
        <v>0</v>
      </c>
      <c r="I22" s="51">
        <f>IF(F22="New",LOOKUP(E22,Assumptions!$A$2:$A$9,Assumptions!$B$2:$B$9),I22)</f>
        <v>0</v>
      </c>
      <c r="J22" s="80">
        <v>0</v>
      </c>
      <c r="K22" s="86"/>
      <c r="L22" s="4">
        <f>IF(F22="New",0,(G22*((1+Assumptions!$B$19)^($M22-Assumptions!$B$18))*(1+Assumptions!$B$20)*(1+(Assumptions!$B$21+Assumptions!$B$22))*(1+Assumptions!$B$23))-(J22*((1+Assumptions!$B$19)^($M22-Assumptions!$B$18))*(1+Assumptions!$B$20)*(1+(Assumptions!$B$21+Assumptions!$B$22))*(1+Assumptions!$B$23)))</f>
        <v>0</v>
      </c>
      <c r="M22" s="3">
        <v>2005</v>
      </c>
      <c r="N22" s="4">
        <f>(((IF($M22=VALUE(RIGHT(N$2,4)),$J22,0)*((1+Assumptions!$B$19)^($M22-Assumptions!$B$18)))*(1+Assumptions!$B$20))*(1+(Assumptions!$B$21+Assumptions!$B$22)))*(1+Assumptions!$B$23)</f>
        <v>0</v>
      </c>
      <c r="O22" s="4">
        <f>(((IF($M22=VALUE(RIGHT(O$2,4)),$J22,0)*((1+Assumptions!$B$19)^($M22-Assumptions!$B$18)))*(1+Assumptions!$B$20))*(1+(Assumptions!$B$21+Assumptions!$B$22)))*(1+Assumptions!$B$23)</f>
        <v>0</v>
      </c>
      <c r="P22" s="4">
        <v>0</v>
      </c>
      <c r="Q22" s="4">
        <f>(((IF($M22=VALUE(RIGHT(Q$2,4)),$J22,0)*((1+Assumptions!$B$19)^($M22-Assumptions!$B$18)))*(1+Assumptions!$B$20))*(1+(Assumptions!$B$21+Assumptions!$B$22)))*(1+Assumptions!$B$23)</f>
        <v>0</v>
      </c>
      <c r="R22" s="4">
        <f>(((IF($M22=VALUE(RIGHT(R$2,4)),$J22,0)*((1+Assumptions!$B$19)^($M22-Assumptions!$B$18)))*(1+Assumptions!$B$20))*(1+(Assumptions!$B$21+Assumptions!$B$22)))*(1+Assumptions!$B$23)</f>
        <v>0</v>
      </c>
      <c r="S22" s="4">
        <f>(((IF($M22=VALUE(RIGHT(S$2,4)),$J22,0)*((1+Assumptions!$B$19)^($M22-Assumptions!$B$18)))*(1+Assumptions!$B$20))*(1+(Assumptions!$B$21+Assumptions!$B$22)))*(1+Assumptions!$B$23)</f>
        <v>0</v>
      </c>
      <c r="T22" s="4">
        <f>(((IF($M22=VALUE(RIGHT(T$2,4)),$J22,0)*((1+Assumptions!$B$19)^($M22-Assumptions!$B$18)))*(1+Assumptions!$B$20))*(1+(Assumptions!$B$21+Assumptions!$B$22)))*(1+Assumptions!$B$23)</f>
        <v>0</v>
      </c>
      <c r="U22" s="4">
        <f>(((IF($M22=VALUE(RIGHT(U$2,4)),$J22,0)*((1+Assumptions!$B$19)^($M22-Assumptions!$B$18)))*(1+Assumptions!$B$20))*(1+(Assumptions!$B$21+Assumptions!$B$22)))*(1+Assumptions!$B$23)</f>
        <v>0</v>
      </c>
      <c r="V22" s="4">
        <f>(((IF($M22=VALUE(RIGHT(V$2,4)),$J22,0)*((1+Assumptions!$B$19)^($M22-Assumptions!$B$18)))*(1+Assumptions!$B$20))*(1+(Assumptions!$B$21+Assumptions!$B$22)))*(1+Assumptions!$B$23)</f>
        <v>0</v>
      </c>
      <c r="W22" s="4">
        <f>(((IF($M22=VALUE(RIGHT(W$2,4)),$J22,0)*((1+Assumptions!$B$19)^($M22-Assumptions!$B$18)))*(1+Assumptions!$B$20))*(1+(Assumptions!$B$21+Assumptions!$B$22)))*(1+Assumptions!$B$23)</f>
        <v>0</v>
      </c>
      <c r="X22" s="4">
        <f>(((IF($M22=VALUE(RIGHT(X$2,4)),$J22,0)*((1+Assumptions!$B$19)^($M22-Assumptions!$B$18)))*(1+Assumptions!$B$20))*(1+(Assumptions!$B$21+Assumptions!$B$22)))*(1+Assumptions!$B$23)</f>
        <v>0</v>
      </c>
      <c r="Y22" s="4">
        <f>(((IF($M22=VALUE(RIGHT(Y$2,4)),$J22,0)*((1+Assumptions!$B$19)^($M22-Assumptions!$B$18)))*(1+Assumptions!$B$20))*(1+(Assumptions!$B$21+Assumptions!$B$22)))*(1+Assumptions!$B$23)</f>
        <v>0</v>
      </c>
      <c r="Z22" s="4">
        <f>(((IF($M22=VALUE(RIGHT(Z$2,4)),$J22,0)*((1+Assumptions!$B$19)^($M22-Assumptions!$B$18)))*(1+Assumptions!$B$20))*(1+(Assumptions!$B$21+Assumptions!$B$22)))*(1+Assumptions!$B$23)</f>
        <v>0</v>
      </c>
      <c r="AA22" s="4">
        <f>(((IF($M22=VALUE(RIGHT(AA$2,4)),$J22,0)*((1+Assumptions!$B$19)^($M22-Assumptions!$B$18)))*(1+Assumptions!$B$20))*(1+(Assumptions!$B$21+Assumptions!$B$22)))*(1+Assumptions!$B$23)</f>
        <v>0</v>
      </c>
      <c r="AB22" s="4">
        <f>(((IF($M22=VALUE(RIGHT(AB$2,4)),$J22,0)*((1+Assumptions!$B$19)^($M22-Assumptions!$B$18)))*(1+Assumptions!$B$20))*(1+(Assumptions!$B$21+Assumptions!$B$22)))*(1+Assumptions!$B$23)</f>
        <v>0</v>
      </c>
    </row>
    <row r="23" spans="1:28" ht="12.75">
      <c r="A23" s="25" t="s">
        <v>146</v>
      </c>
      <c r="B23" s="52" t="s">
        <v>153</v>
      </c>
      <c r="C23" s="52" t="s">
        <v>172</v>
      </c>
      <c r="D23" s="3" t="s">
        <v>142</v>
      </c>
      <c r="E23" s="3" t="s">
        <v>139</v>
      </c>
      <c r="F23" t="s">
        <v>59</v>
      </c>
      <c r="G23" s="4">
        <f>LOOKUP(B23,'Heery Data'!$B$3:$B$52,'Heery Data'!$C$3:$C$52)</f>
        <v>0</v>
      </c>
      <c r="H23" s="4">
        <v>150000</v>
      </c>
      <c r="I23" s="51">
        <f>IF(F23="New",LOOKUP(E23,Assumptions!$A$2:$A$9,Assumptions!$B$2:$B$9),I23)</f>
        <v>1424020</v>
      </c>
      <c r="J23" s="80">
        <f>IF(F23="New",LOOKUP(E23,Assumptions!$A$2:$A$9,Assumptions!$B$2:$B$9),#REF!)+H23</f>
        <v>1574020</v>
      </c>
      <c r="K23" s="86">
        <v>1285759</v>
      </c>
      <c r="L23" s="4">
        <f>IF(F23="New",0,(G23*((1+Assumptions!$B$19)^($M23-Assumptions!$B$18))*(1+Assumptions!$B$20)*(1+(Assumptions!$B$21+Assumptions!$B$22))*(1+Assumptions!$B$23))-(J23*((1+Assumptions!$B$19)^($M23-Assumptions!$B$18))*(1+Assumptions!$B$20)*(1+(Assumptions!$B$21+Assumptions!$B$22))*(1+Assumptions!$B$23)))</f>
        <v>0</v>
      </c>
      <c r="M23" s="3">
        <v>2010</v>
      </c>
      <c r="N23" s="4">
        <f>(((IF($M23=VALUE(RIGHT(N$2,4)),$J23,0)*((1+Assumptions!$B$19)^($M23-Assumptions!$B$18)))*(1+Assumptions!$B$20))*(1+(Assumptions!$B$21+Assumptions!$B$22)))*(1+Assumptions!$B$23)</f>
        <v>0</v>
      </c>
      <c r="O23" s="4">
        <f>(((IF($M23=VALUE(RIGHT(O$2,4)),$J23,0)*((1+Assumptions!$B$19)^($M23-Assumptions!$B$18)))*(1+Assumptions!$B$20))*(1+(Assumptions!$B$21+Assumptions!$B$22)))*(1+Assumptions!$B$23)</f>
        <v>0</v>
      </c>
      <c r="P23" s="4">
        <v>0</v>
      </c>
      <c r="Q23" s="4">
        <f>(((IF($M23=VALUE(RIGHT(Q$2,4)),$J23,0)*((1+Assumptions!$B$19)^($M23-Assumptions!$B$18)))*(1+Assumptions!$B$20))*(1+(Assumptions!$B$21+Assumptions!$B$22)))*(1+Assumptions!$B$23)</f>
        <v>0</v>
      </c>
      <c r="R23" s="4">
        <f>(((IF($M23=VALUE(RIGHT(R$2,4)),$J23,0)*((1+Assumptions!$B$19)^($M23-Assumptions!$B$18)))*(1+Assumptions!$B$20))*(1+(Assumptions!$B$21+Assumptions!$B$22)))*(1+Assumptions!$B$23)</f>
        <v>0</v>
      </c>
      <c r="S23" s="4">
        <f>K23/2</f>
        <v>642879.5</v>
      </c>
      <c r="T23" s="4">
        <f>K23/2</f>
        <v>642879.5</v>
      </c>
      <c r="U23" s="4">
        <f>(((IF($M23=VALUE(RIGHT(U$2,4)),$J23,0)*((1+Assumptions!$B$19)^($M23-Assumptions!$B$18)))*(1+Assumptions!$B$20))*(1+(Assumptions!$B$21+Assumptions!$B$22)))*(1+Assumptions!$B$23)</f>
        <v>0</v>
      </c>
      <c r="V23" s="4">
        <f>(((IF($M23=VALUE(RIGHT(V$2,4)),$J23,0)*((1+Assumptions!$B$19)^($M23-Assumptions!$B$18)))*(1+Assumptions!$B$20))*(1+(Assumptions!$B$21+Assumptions!$B$22)))*(1+Assumptions!$B$23)</f>
        <v>0</v>
      </c>
      <c r="W23" s="4">
        <f>(((IF($M23=VALUE(RIGHT(W$2,4)),$J23,0)*((1+Assumptions!$B$19)^($M23-Assumptions!$B$18)))*(1+Assumptions!$B$20))*(1+(Assumptions!$B$21+Assumptions!$B$22)))*(1+Assumptions!$B$23)</f>
        <v>0</v>
      </c>
      <c r="X23" s="4">
        <f>(((IF($M23=VALUE(RIGHT(X$2,4)),$J23,0)*((1+Assumptions!$B$19)^($M23-Assumptions!$B$18)))*(1+Assumptions!$B$20))*(1+(Assumptions!$B$21+Assumptions!$B$22)))*(1+Assumptions!$B$23)</f>
        <v>0</v>
      </c>
      <c r="Y23" s="4">
        <f>(((IF($M23=VALUE(RIGHT(Y$2,4)),$J23,0)*((1+Assumptions!$B$19)^($M23-Assumptions!$B$18)))*(1+Assumptions!$B$20))*(1+(Assumptions!$B$21+Assumptions!$B$22)))*(1+Assumptions!$B$23)</f>
        <v>0</v>
      </c>
      <c r="Z23" s="4">
        <f>(((IF($M23=VALUE(RIGHT(Z$2,4)),$J23,0)*((1+Assumptions!$B$19)^($M23-Assumptions!$B$18)))*(1+Assumptions!$B$20))*(1+(Assumptions!$B$21+Assumptions!$B$22)))*(1+Assumptions!$B$23)</f>
        <v>0</v>
      </c>
      <c r="AA23" s="4">
        <f>(((IF($M23=VALUE(RIGHT(AA$2,4)),$J23,0)*((1+Assumptions!$B$19)^($M23-Assumptions!$B$18)))*(1+Assumptions!$B$20))*(1+(Assumptions!$B$21+Assumptions!$B$22)))*(1+Assumptions!$B$23)</f>
        <v>0</v>
      </c>
      <c r="AB23" s="4">
        <f>(((IF($M23=VALUE(RIGHT(AB$2,4)),$J23,0)*((1+Assumptions!$B$19)^($M23-Assumptions!$B$18)))*(1+Assumptions!$B$20))*(1+(Assumptions!$B$21+Assumptions!$B$22)))*(1+Assumptions!$B$23)</f>
        <v>0</v>
      </c>
    </row>
    <row r="24" spans="1:28" ht="12.75">
      <c r="A24" s="25">
        <v>41</v>
      </c>
      <c r="B24" s="52" t="s">
        <v>32</v>
      </c>
      <c r="C24" s="52" t="s">
        <v>173</v>
      </c>
      <c r="D24" s="3" t="s">
        <v>142</v>
      </c>
      <c r="E24" s="3" t="s">
        <v>138</v>
      </c>
      <c r="F24" t="s">
        <v>56</v>
      </c>
      <c r="G24" s="4">
        <f>LOOKUP(B24,'Heery Data'!$B$3:$B$52,'Heery Data'!$C$3:$C$52)</f>
        <v>278586</v>
      </c>
      <c r="H24" s="4">
        <f>IF(F24="New",LOOKUP(D24,Assumptions!$A$12:$A$15,Assumptions!$B$12:$B$15)*LOOKUP(E24,Assumptions!$A$2:$A$9,Assumptions!$C$2:$C$9),0)</f>
        <v>0</v>
      </c>
      <c r="I24" s="51">
        <f>IF(F24="New",LOOKUP(E24,Assumptions!$A$2:$A$9,Assumptions!$B$2:$B$9),I24)</f>
        <v>0</v>
      </c>
      <c r="J24" s="80">
        <v>0</v>
      </c>
      <c r="K24" s="86"/>
      <c r="L24" s="4">
        <f>IF(F24="New",0,(G24*((1+Assumptions!$B$19)^($M24-Assumptions!$B$18))*(1+Assumptions!$B$20)*(1+(Assumptions!$B$21+Assumptions!$B$22))*(1+Assumptions!$B$23))-(J24*((1+Assumptions!$B$19)^($M24-Assumptions!$B$18))*(1+Assumptions!$B$20)*(1+(Assumptions!$B$21+Assumptions!$B$22))*(1+Assumptions!$B$23)))</f>
        <v>278586</v>
      </c>
      <c r="M24" s="3">
        <v>2008</v>
      </c>
      <c r="N24" s="4">
        <f>(((IF($M24=VALUE(RIGHT(N$2,4)),$J24,0)*((1+Assumptions!$B$19)^($M24-Assumptions!$B$18)))*(1+Assumptions!$B$20))*(1+(Assumptions!$B$21+Assumptions!$B$22)))*(1+Assumptions!$B$23)</f>
        <v>0</v>
      </c>
      <c r="O24" s="4">
        <v>8653</v>
      </c>
      <c r="P24" s="4">
        <v>127852</v>
      </c>
      <c r="Q24" s="4">
        <f>(((IF($M24=VALUE(RIGHT(Q$2,4)),$J24,0)*((1+Assumptions!$B$19)^($M24-Assumptions!$B$18)))*(1+Assumptions!$B$20))*(1+(Assumptions!$B$21+Assumptions!$B$22)))*(1+Assumptions!$B$23)</f>
        <v>0</v>
      </c>
      <c r="R24" s="4">
        <f>(((IF($M24=VALUE(RIGHT(R$2,4)),$J24,0)*((1+Assumptions!$B$19)^($M24-Assumptions!$B$18)))*(1+Assumptions!$B$20))*(1+(Assumptions!$B$21+Assumptions!$B$22)))*(1+Assumptions!$B$23)</f>
        <v>0</v>
      </c>
      <c r="S24" s="4">
        <f>(((IF($M24=VALUE(RIGHT(S$2,4)),$J24,0)*((1+Assumptions!$B$19)^($M24-Assumptions!$B$18)))*(1+Assumptions!$B$20))*(1+(Assumptions!$B$21+Assumptions!$B$22)))*(1+Assumptions!$B$23)</f>
        <v>0</v>
      </c>
      <c r="T24" s="4">
        <f>(((IF($M24=VALUE(RIGHT(T$2,4)),$J24,0)*((1+Assumptions!$B$19)^($M24-Assumptions!$B$18)))*(1+Assumptions!$B$20))*(1+(Assumptions!$B$21+Assumptions!$B$22)))*(1+Assumptions!$B$23)</f>
        <v>0</v>
      </c>
      <c r="U24" s="4">
        <f>(((IF($M24=VALUE(RIGHT(U$2,4)),$J24,0)*((1+Assumptions!$B$19)^($M24-Assumptions!$B$18)))*(1+Assumptions!$B$20))*(1+(Assumptions!$B$21+Assumptions!$B$22)))*(1+Assumptions!$B$23)</f>
        <v>0</v>
      </c>
      <c r="V24" s="4">
        <f>(((IF($M24=VALUE(RIGHT(V$2,4)),$J24,0)*((1+Assumptions!$B$19)^($M24-Assumptions!$B$18)))*(1+Assumptions!$B$20))*(1+(Assumptions!$B$21+Assumptions!$B$22)))*(1+Assumptions!$B$23)</f>
        <v>0</v>
      </c>
      <c r="W24" s="4">
        <f>(((IF($M24=VALUE(RIGHT(W$2,4)),$J24,0)*((1+Assumptions!$B$19)^($M24-Assumptions!$B$18)))*(1+Assumptions!$B$20))*(1+(Assumptions!$B$21+Assumptions!$B$22)))*(1+Assumptions!$B$23)</f>
        <v>0</v>
      </c>
      <c r="X24" s="4">
        <f>(((IF($M24=VALUE(RIGHT(X$2,4)),$J24,0)*((1+Assumptions!$B$19)^($M24-Assumptions!$B$18)))*(1+Assumptions!$B$20))*(1+(Assumptions!$B$21+Assumptions!$B$22)))*(1+Assumptions!$B$23)</f>
        <v>0</v>
      </c>
      <c r="Y24" s="4">
        <f>(((IF($M24=VALUE(RIGHT(Y$2,4)),$J24,0)*((1+Assumptions!$B$19)^($M24-Assumptions!$B$18)))*(1+Assumptions!$B$20))*(1+(Assumptions!$B$21+Assumptions!$B$22)))*(1+Assumptions!$B$23)</f>
        <v>0</v>
      </c>
      <c r="Z24" s="4">
        <f>(((IF($M24=VALUE(RIGHT(Z$2,4)),$J24,0)*((1+Assumptions!$B$19)^($M24-Assumptions!$B$18)))*(1+Assumptions!$B$20))*(1+(Assumptions!$B$21+Assumptions!$B$22)))*(1+Assumptions!$B$23)</f>
        <v>0</v>
      </c>
      <c r="AA24" s="4">
        <f>(((IF($M24=VALUE(RIGHT(AA$2,4)),$J24,0)*((1+Assumptions!$B$19)^($M24-Assumptions!$B$18)))*(1+Assumptions!$B$20))*(1+(Assumptions!$B$21+Assumptions!$B$22)))*(1+Assumptions!$B$23)</f>
        <v>0</v>
      </c>
      <c r="AB24" s="4">
        <f>(((IF($M24=VALUE(RIGHT(AB$2,4)),$J24,0)*((1+Assumptions!$B$19)^($M24-Assumptions!$B$18)))*(1+Assumptions!$B$20))*(1+(Assumptions!$B$21+Assumptions!$B$22)))*(1+Assumptions!$B$23)</f>
        <v>0</v>
      </c>
    </row>
    <row r="25" spans="1:28" s="25" customFormat="1" ht="12.75">
      <c r="A25" s="13">
        <v>41</v>
      </c>
      <c r="B25" s="57" t="s">
        <v>154</v>
      </c>
      <c r="C25" s="57" t="s">
        <v>173</v>
      </c>
      <c r="D25" s="58" t="s">
        <v>142</v>
      </c>
      <c r="E25" s="58" t="s">
        <v>140</v>
      </c>
      <c r="F25" s="13" t="s">
        <v>59</v>
      </c>
      <c r="G25" s="59">
        <v>0</v>
      </c>
      <c r="H25" s="59">
        <f>400000*0.77</f>
        <v>308000</v>
      </c>
      <c r="I25" s="60">
        <f>IF(F25="New",LOOKUP(E25,Assumptions!$A$1:$A$10,Assumptions!$B$1:$B$10),I25)</f>
        <v>1985294.85</v>
      </c>
      <c r="J25" s="61">
        <f>IF(F25="New",LOOKUP(E25,Assumptions!$A$1:$A$10,Assumptions!$B$1:$B$10),#REF!)+H25</f>
        <v>2293294.85</v>
      </c>
      <c r="K25" s="85">
        <v>440430</v>
      </c>
      <c r="L25" s="59">
        <f>IF(F25="New",0,(G25*((1+Assumptions!$B$19)^($M25-Assumptions!$B$18))*(1+Assumptions!$B$20)*(1+(Assumptions!$B$21+Assumptions!$B$22))*(1+Assumptions!$B$23))-(J25*((1+Assumptions!$B$19)^($M25-Assumptions!$B$18))*(1+Assumptions!$B$20)*(1+(Assumptions!$B$21+Assumptions!$B$22))*(1+Assumptions!$B$23)))</f>
        <v>0</v>
      </c>
      <c r="M25" s="58">
        <v>2006</v>
      </c>
      <c r="N25" s="59">
        <f>(((IF($M25=VALUE(RIGHT(N$2,4)),$J25,0)*((1+Assumptions!$B$19)^($M25-Assumptions!$B$18)))*(1+Assumptions!$B$20))*(1+(Assumptions!$B$21+Assumptions!$B$22)))*(1+Assumptions!$B$23)</f>
        <v>0</v>
      </c>
      <c r="O25" s="59">
        <f>376989/2</f>
        <v>188494.5</v>
      </c>
      <c r="P25" s="59">
        <f>376989/2</f>
        <v>188494.5</v>
      </c>
      <c r="Q25" s="59">
        <f>(((IF($M25=VALUE(RIGHT(Q$2,4)),$J25,0)*((1+Assumptions!$B$19)^($M25-Assumptions!$B$18)))*(1+Assumptions!$B$20))*(1+(Assumptions!$B$21+Assumptions!$B$22)))*(1+Assumptions!$B$23)</f>
        <v>0</v>
      </c>
      <c r="R25" s="59">
        <f>(((IF($M25=VALUE(RIGHT(R$2,4)),$J25,0)*((1+Assumptions!$B$19)^($M25-Assumptions!$B$18)))*(1+Assumptions!$B$20))*(1+(Assumptions!$B$21+Assumptions!$B$22)))*(1+Assumptions!$B$23)</f>
        <v>0</v>
      </c>
      <c r="S25" s="59">
        <f>(((IF($M25=VALUE(RIGHT(S$2,4)),$J25,0)*((1+Assumptions!$B$19)^($M25-Assumptions!$B$18)))*(1+Assumptions!$B$20))*(1+(Assumptions!$B$21+Assumptions!$B$22)))*(1+Assumptions!$B$23)</f>
        <v>0</v>
      </c>
      <c r="T25" s="59">
        <f>(((IF($M25=VALUE(RIGHT(T$2,4)),$J25,0)*((1+Assumptions!$B$19)^($M25-Assumptions!$B$18)))*(1+Assumptions!$B$20))*(1+(Assumptions!$B$21+Assumptions!$B$22)))*(1+Assumptions!$B$23)</f>
        <v>0</v>
      </c>
      <c r="U25" s="59">
        <f>(((IF($M25=VALUE(RIGHT(U$2,4)),$J25,0)*((1+Assumptions!$B$19)^($M25-Assumptions!$B$18)))*(1+Assumptions!$B$20))*(1+(Assumptions!$B$21+Assumptions!$B$22)))*(1+Assumptions!$B$23)</f>
        <v>0</v>
      </c>
      <c r="V25" s="59">
        <f>(((IF($M25=VALUE(RIGHT(V$2,4)),$J25,0)*((1+Assumptions!$B$19)^($M25-Assumptions!$B$18)))*(1+Assumptions!$B$20))*(1+(Assumptions!$B$21+Assumptions!$B$22)))*(1+Assumptions!$B$23)</f>
        <v>0</v>
      </c>
      <c r="W25" s="59">
        <f>(((IF($M25=VALUE(RIGHT(W$2,4)),$J25,0)*((1+Assumptions!$B$19)^($M25-Assumptions!$B$18)))*(1+Assumptions!$B$20))*(1+(Assumptions!$B$21+Assumptions!$B$22)))*(1+Assumptions!$B$23)</f>
        <v>0</v>
      </c>
      <c r="X25" s="59">
        <f>(((IF($M25=VALUE(RIGHT(X$2,4)),$J25,0)*((1+Assumptions!$B$19)^($M25-Assumptions!$B$18)))*(1+Assumptions!$B$20))*(1+(Assumptions!$B$21+Assumptions!$B$22)))*(1+Assumptions!$B$23)</f>
        <v>0</v>
      </c>
      <c r="Y25" s="59">
        <f>(((IF($M25=VALUE(RIGHT(Y$2,4)),$J25,0)*((1+Assumptions!$B$19)^($M25-Assumptions!$B$18)))*(1+Assumptions!$B$20))*(1+(Assumptions!$B$21+Assumptions!$B$22)))*(1+Assumptions!$B$23)</f>
        <v>0</v>
      </c>
      <c r="Z25" s="59">
        <f>(((IF($M25=VALUE(RIGHT(Z$2,4)),$J25,0)*((1+Assumptions!$B$19)^($M25-Assumptions!$B$18)))*(1+Assumptions!$B$20))*(1+(Assumptions!$B$21+Assumptions!$B$22)))*(1+Assumptions!$B$23)</f>
        <v>0</v>
      </c>
      <c r="AA25" s="59">
        <f>(((IF($M25=VALUE(RIGHT(AA$2,4)),$J25,0)*((1+Assumptions!$B$19)^($M25-Assumptions!$B$18)))*(1+Assumptions!$B$20))*(1+(Assumptions!$B$21+Assumptions!$B$22)))*(1+Assumptions!$B$23)</f>
        <v>0</v>
      </c>
      <c r="AB25" s="59">
        <f>(((IF($M25=VALUE(RIGHT(AB$2,4)),$J25,0)*((1+Assumptions!$B$19)^($M25-Assumptions!$B$18)))*(1+Assumptions!$B$20))*(1+(Assumptions!$B$21+Assumptions!$B$22)))*(1+Assumptions!$B$23)</f>
        <v>0</v>
      </c>
    </row>
    <row r="26" spans="1:28" ht="12.75">
      <c r="A26" s="25">
        <v>18</v>
      </c>
      <c r="B26" s="52" t="s">
        <v>33</v>
      </c>
      <c r="C26" s="52" t="s">
        <v>173</v>
      </c>
      <c r="D26" s="3" t="s">
        <v>142</v>
      </c>
      <c r="E26" s="3" t="s">
        <v>139</v>
      </c>
      <c r="F26" t="s">
        <v>60</v>
      </c>
      <c r="G26" s="4">
        <f>LOOKUP(B26,'Heery Data'!$B$3:$B$52,'Heery Data'!$C$3:$C$52)</f>
        <v>1632618</v>
      </c>
      <c r="H26" s="4">
        <f>IF(F26="New",LOOKUP(D26,Assumptions!$A$12:$A$15,Assumptions!$B$12:$B$15)*LOOKUP(E26,Assumptions!$A$2:$A$9,Assumptions!$C$2:$C$9),0)</f>
        <v>0</v>
      </c>
      <c r="I26" s="51">
        <f>IF(F26="New",LOOKUP(E26,Assumptions!$A$2:$A$9,Assumptions!$B$2:$B$9),I26)</f>
        <v>0</v>
      </c>
      <c r="J26" s="80">
        <v>0</v>
      </c>
      <c r="K26" s="86"/>
      <c r="L26" s="4">
        <f>IF(F26="New",0,(G26*((1+Assumptions!$B$19)^($M26-Assumptions!$B$18))*(1+Assumptions!$B$20)*(1+(Assumptions!$B$21+Assumptions!$B$22))*(1+Assumptions!$B$23))-(J26*((1+Assumptions!$B$19)^($M26-Assumptions!$B$18))*(1+Assumptions!$B$20)*(1+(Assumptions!$B$21+Assumptions!$B$22))*(1+Assumptions!$B$23)))</f>
        <v>1632618</v>
      </c>
      <c r="M26" s="3">
        <v>2005</v>
      </c>
      <c r="N26" s="4">
        <v>27701</v>
      </c>
      <c r="O26" s="4">
        <v>136720</v>
      </c>
      <c r="P26" s="4">
        <f>98020+281071+408</f>
        <v>379499</v>
      </c>
      <c r="Q26" s="4"/>
      <c r="R26" s="4">
        <f>(((IF($M26=VALUE(RIGHT(R$2,4)),$J26,0)*((1+Assumptions!$B$19)^($M26-Assumptions!$B$18)))*(1+Assumptions!$B$20))*(1+(Assumptions!$B$21+Assumptions!$B$22)))*(1+Assumptions!$B$23)</f>
        <v>0</v>
      </c>
      <c r="S26" s="4">
        <f>(((IF($M26=VALUE(RIGHT(S$2,4)),$J26,0)*((1+Assumptions!$B$19)^($M26-Assumptions!$B$18)))*(1+Assumptions!$B$20))*(1+(Assumptions!$B$21+Assumptions!$B$22)))*(1+Assumptions!$B$23)</f>
        <v>0</v>
      </c>
      <c r="T26" s="4">
        <f>(((IF($M26=VALUE(RIGHT(T$2,4)),$J26,0)*((1+Assumptions!$B$19)^($M26-Assumptions!$B$18)))*(1+Assumptions!$B$20))*(1+(Assumptions!$B$21+Assumptions!$B$22)))*(1+Assumptions!$B$23)</f>
        <v>0</v>
      </c>
      <c r="U26" s="4">
        <f>(((IF($M26=VALUE(RIGHT(U$2,4)),$J26,0)*((1+Assumptions!$B$19)^($M26-Assumptions!$B$18)))*(1+Assumptions!$B$20))*(1+(Assumptions!$B$21+Assumptions!$B$22)))*(1+Assumptions!$B$23)</f>
        <v>0</v>
      </c>
      <c r="V26" s="4">
        <f>(((IF($M26=VALUE(RIGHT(V$2,4)),$J26,0)*((1+Assumptions!$B$19)^($M26-Assumptions!$B$18)))*(1+Assumptions!$B$20))*(1+(Assumptions!$B$21+Assumptions!$B$22)))*(1+Assumptions!$B$23)</f>
        <v>0</v>
      </c>
      <c r="W26" s="4">
        <f>(((IF($M26=VALUE(RIGHT(W$2,4)),$J26,0)*((1+Assumptions!$B$19)^($M26-Assumptions!$B$18)))*(1+Assumptions!$B$20))*(1+(Assumptions!$B$21+Assumptions!$B$22)))*(1+Assumptions!$B$23)</f>
        <v>0</v>
      </c>
      <c r="X26" s="4">
        <f>(((IF($M26=VALUE(RIGHT(X$2,4)),$J26,0)*((1+Assumptions!$B$19)^($M26-Assumptions!$B$18)))*(1+Assumptions!$B$20))*(1+(Assumptions!$B$21+Assumptions!$B$22)))*(1+Assumptions!$B$23)</f>
        <v>0</v>
      </c>
      <c r="Y26" s="4">
        <f>(((IF($M26=VALUE(RIGHT(Y$2,4)),$J26,0)*((1+Assumptions!$B$19)^($M26-Assumptions!$B$18)))*(1+Assumptions!$B$20))*(1+(Assumptions!$B$21+Assumptions!$B$22)))*(1+Assumptions!$B$23)</f>
        <v>0</v>
      </c>
      <c r="Z26" s="4">
        <f>(((IF($M26=VALUE(RIGHT(Z$2,4)),$J26,0)*((1+Assumptions!$B$19)^($M26-Assumptions!$B$18)))*(1+Assumptions!$B$20))*(1+(Assumptions!$B$21+Assumptions!$B$22)))*(1+Assumptions!$B$23)</f>
        <v>0</v>
      </c>
      <c r="AA26" s="4">
        <f>(((IF($M26=VALUE(RIGHT(AA$2,4)),$J26,0)*((1+Assumptions!$B$19)^($M26-Assumptions!$B$18)))*(1+Assumptions!$B$20))*(1+(Assumptions!$B$21+Assumptions!$B$22)))*(1+Assumptions!$B$23)</f>
        <v>0</v>
      </c>
      <c r="AB26" s="4">
        <f>(((IF($M26=VALUE(RIGHT(AB$2,4)),$J26,0)*((1+Assumptions!$B$19)^($M26-Assumptions!$B$18)))*(1+Assumptions!$B$20))*(1+(Assumptions!$B$21+Assumptions!$B$22)))*(1+Assumptions!$B$23)</f>
        <v>0</v>
      </c>
    </row>
    <row r="27" spans="1:28" ht="12.75">
      <c r="A27" s="25">
        <v>8</v>
      </c>
      <c r="B27" s="52" t="s">
        <v>34</v>
      </c>
      <c r="C27" s="52" t="s">
        <v>173</v>
      </c>
      <c r="D27" s="3" t="s">
        <v>142</v>
      </c>
      <c r="E27" s="3" t="s">
        <v>139</v>
      </c>
      <c r="F27" t="s">
        <v>60</v>
      </c>
      <c r="G27" s="4">
        <f>LOOKUP(B27,'Heery Data'!$B$3:$B$52,'Heery Data'!$C$3:$C$52)</f>
        <v>535032</v>
      </c>
      <c r="H27" s="4">
        <f>IF(F27="New",LOOKUP(D27,Assumptions!$A$12:$A$15,Assumptions!$B$12:$B$15)*LOOKUP(E27,Assumptions!$A$2:$A$9,Assumptions!$C$2:$C$9),0)</f>
        <v>0</v>
      </c>
      <c r="I27" s="51">
        <f>IF(F27="New",LOOKUP(E27,Assumptions!$A$2:$A$9,Assumptions!$B$2:$B$9),I27)</f>
        <v>0</v>
      </c>
      <c r="J27" s="80">
        <v>0</v>
      </c>
      <c r="K27" s="86"/>
      <c r="L27" s="4">
        <f>IF(F27="New",0,(G27*((1+Assumptions!$B$19)^($M27-Assumptions!$B$18))*(1+Assumptions!$B$20)*(1+(Assumptions!$B$21+Assumptions!$B$22))*(1+Assumptions!$B$23))-(J27*((1+Assumptions!$B$19)^($M27-Assumptions!$B$18))*(1+Assumptions!$B$20)*(1+(Assumptions!$B$21+Assumptions!$B$22))*(1+Assumptions!$B$23)))</f>
        <v>535032</v>
      </c>
      <c r="M27" s="3">
        <v>2005</v>
      </c>
      <c r="N27" s="4">
        <v>21647</v>
      </c>
      <c r="O27" s="4">
        <v>52652</v>
      </c>
      <c r="P27" s="4">
        <f>170469+2841+4726</f>
        <v>178036</v>
      </c>
      <c r="Q27" s="4"/>
      <c r="R27" s="4">
        <f>(((IF($M27=VALUE(RIGHT(R$2,4)),$J27,0)*((1+Assumptions!$B$19)^($M27-Assumptions!$B$18)))*(1+Assumptions!$B$20))*(1+(Assumptions!$B$21+Assumptions!$B$22)))*(1+Assumptions!$B$23)</f>
        <v>0</v>
      </c>
      <c r="S27" s="4">
        <f>(((IF($M27=VALUE(RIGHT(S$2,4)),$J27,0)*((1+Assumptions!$B$19)^($M27-Assumptions!$B$18)))*(1+Assumptions!$B$20))*(1+(Assumptions!$B$21+Assumptions!$B$22)))*(1+Assumptions!$B$23)</f>
        <v>0</v>
      </c>
      <c r="T27" s="4">
        <f>(((IF($M27=VALUE(RIGHT(T$2,4)),$J27,0)*((1+Assumptions!$B$19)^($M27-Assumptions!$B$18)))*(1+Assumptions!$B$20))*(1+(Assumptions!$B$21+Assumptions!$B$22)))*(1+Assumptions!$B$23)</f>
        <v>0</v>
      </c>
      <c r="U27" s="4">
        <f>(((IF($M27=VALUE(RIGHT(U$2,4)),$J27,0)*((1+Assumptions!$B$19)^($M27-Assumptions!$B$18)))*(1+Assumptions!$B$20))*(1+(Assumptions!$B$21+Assumptions!$B$22)))*(1+Assumptions!$B$23)</f>
        <v>0</v>
      </c>
      <c r="V27" s="4">
        <f>(((IF($M27=VALUE(RIGHT(V$2,4)),$J27,0)*((1+Assumptions!$B$19)^($M27-Assumptions!$B$18)))*(1+Assumptions!$B$20))*(1+(Assumptions!$B$21+Assumptions!$B$22)))*(1+Assumptions!$B$23)</f>
        <v>0</v>
      </c>
      <c r="W27" s="4">
        <f>(((IF($M27=VALUE(RIGHT(W$2,4)),$J27,0)*((1+Assumptions!$B$19)^($M27-Assumptions!$B$18)))*(1+Assumptions!$B$20))*(1+(Assumptions!$B$21+Assumptions!$B$22)))*(1+Assumptions!$B$23)</f>
        <v>0</v>
      </c>
      <c r="X27" s="4">
        <f>(((IF($M27=VALUE(RIGHT(X$2,4)),$J27,0)*((1+Assumptions!$B$19)^($M27-Assumptions!$B$18)))*(1+Assumptions!$B$20))*(1+(Assumptions!$B$21+Assumptions!$B$22)))*(1+Assumptions!$B$23)</f>
        <v>0</v>
      </c>
      <c r="Y27" s="4">
        <f>(((IF($M27=VALUE(RIGHT(Y$2,4)),$J27,0)*((1+Assumptions!$B$19)^($M27-Assumptions!$B$18)))*(1+Assumptions!$B$20))*(1+(Assumptions!$B$21+Assumptions!$B$22)))*(1+Assumptions!$B$23)</f>
        <v>0</v>
      </c>
      <c r="Z27" s="4">
        <f>(((IF($M27=VALUE(RIGHT(Z$2,4)),$J27,0)*((1+Assumptions!$B$19)^($M27-Assumptions!$B$18)))*(1+Assumptions!$B$20))*(1+(Assumptions!$B$21+Assumptions!$B$22)))*(1+Assumptions!$B$23)</f>
        <v>0</v>
      </c>
      <c r="AA27" s="4">
        <f>(((IF($M27=VALUE(RIGHT(AA$2,4)),$J27,0)*((1+Assumptions!$B$19)^($M27-Assumptions!$B$18)))*(1+Assumptions!$B$20))*(1+(Assumptions!$B$21+Assumptions!$B$22)))*(1+Assumptions!$B$23)</f>
        <v>0</v>
      </c>
      <c r="AB27" s="4">
        <f>(((IF($M27=VALUE(RIGHT(AB$2,4)),$J27,0)*((1+Assumptions!$B$19)^($M27-Assumptions!$B$18)))*(1+Assumptions!$B$20))*(1+(Assumptions!$B$21+Assumptions!$B$22)))*(1+Assumptions!$B$23)</f>
        <v>0</v>
      </c>
    </row>
    <row r="28" spans="1:28" s="25" customFormat="1" ht="12.75">
      <c r="A28" s="13" t="s">
        <v>146</v>
      </c>
      <c r="B28" s="57" t="s">
        <v>187</v>
      </c>
      <c r="C28" s="57" t="s">
        <v>173</v>
      </c>
      <c r="D28" s="58" t="s">
        <v>142</v>
      </c>
      <c r="E28" s="58" t="s">
        <v>139</v>
      </c>
      <c r="F28" s="13" t="s">
        <v>59</v>
      </c>
      <c r="G28" s="59">
        <f>LOOKUP(B28,'Heery Data'!$B$3:$B$52,'Heery Data'!$C$3:$C$52)</f>
        <v>0</v>
      </c>
      <c r="H28" s="59">
        <v>0</v>
      </c>
      <c r="I28" s="60">
        <v>0</v>
      </c>
      <c r="J28" s="61">
        <v>0</v>
      </c>
      <c r="K28" s="85"/>
      <c r="L28" s="59">
        <f>IF(F28="New",0,(G28*((1+Assumptions!$B$19)^($M28-Assumptions!$B$18))*(1+Assumptions!$B$20)*(1+(Assumptions!$B$21+Assumptions!$B$22))*(1+Assumptions!$B$23))-(J28*((1+Assumptions!$B$19)^($M28-Assumptions!$B$18))*(1+Assumptions!$B$20)*(1+(Assumptions!$B$21+Assumptions!$B$22))*(1+Assumptions!$B$23)))</f>
        <v>0</v>
      </c>
      <c r="M28" s="58">
        <v>2006</v>
      </c>
      <c r="N28" s="59">
        <f>(((IF($M28=VALUE(RIGHT(N$2,4)),$J28,0)*((1+Assumptions!$B$19)^($M28-Assumptions!$B$18)))*(1+Assumptions!$B$20))*(1+(Assumptions!$B$21+Assumptions!$B$22)))*(1+Assumptions!$B$23)</f>
        <v>0</v>
      </c>
      <c r="O28" s="59">
        <f>(((IF($M28=VALUE(RIGHT(O$2,4)),$J28,0)*((1+Assumptions!$B$19)^($M28-Assumptions!$B$18)))*(1+Assumptions!$B$20))*(1+(Assumptions!$B$21+Assumptions!$B$22)))*(1+Assumptions!$B$23)</f>
        <v>0</v>
      </c>
      <c r="P28" s="59">
        <v>0</v>
      </c>
      <c r="Q28" s="59">
        <f>(((IF($M28=VALUE(RIGHT(Q$2,4)),$J28,0)*((1+Assumptions!$B$19)^($M28-Assumptions!$B$18)))*(1+Assumptions!$B$20))*(1+(Assumptions!$B$21+Assumptions!$B$22)))*(1+Assumptions!$B$23)</f>
        <v>0</v>
      </c>
      <c r="R28" s="59">
        <f>(((IF($M28=VALUE(RIGHT(R$2,4)),$J28,0)*((1+Assumptions!$B$19)^($M28-Assumptions!$B$18)))*(1+Assumptions!$B$20))*(1+(Assumptions!$B$21+Assumptions!$B$22)))*(1+Assumptions!$B$23)</f>
        <v>0</v>
      </c>
      <c r="S28" s="59">
        <f>(((IF($M28=VALUE(RIGHT(S$2,4)),$J28,0)*((1+Assumptions!$B$19)^($M28-Assumptions!$B$18)))*(1+Assumptions!$B$20))*(1+(Assumptions!$B$21+Assumptions!$B$22)))*(1+Assumptions!$B$23)</f>
        <v>0</v>
      </c>
      <c r="T28" s="59">
        <f>(((IF($M28=VALUE(RIGHT(T$2,4)),$J28,0)*((1+Assumptions!$B$19)^($M28-Assumptions!$B$18)))*(1+Assumptions!$B$20))*(1+(Assumptions!$B$21+Assumptions!$B$22)))*(1+Assumptions!$B$23)</f>
        <v>0</v>
      </c>
      <c r="U28" s="59">
        <f>(((IF($M28=VALUE(RIGHT(U$2,4)),$J28,0)*((1+Assumptions!$B$19)^($M28-Assumptions!$B$18)))*(1+Assumptions!$B$20))*(1+(Assumptions!$B$21+Assumptions!$B$22)))*(1+Assumptions!$B$23)</f>
        <v>0</v>
      </c>
      <c r="V28" s="59">
        <f>(((IF($M28=VALUE(RIGHT(V$2,4)),$J28,0)*((1+Assumptions!$B$19)^($M28-Assumptions!$B$18)))*(1+Assumptions!$B$20))*(1+(Assumptions!$B$21+Assumptions!$B$22)))*(1+Assumptions!$B$23)</f>
        <v>0</v>
      </c>
      <c r="W28" s="59">
        <f>(((IF($M28=VALUE(RIGHT(W$2,4)),$J28,0)*((1+Assumptions!$B$19)^($M28-Assumptions!$B$18)))*(1+Assumptions!$B$20))*(1+(Assumptions!$B$21+Assumptions!$B$22)))*(1+Assumptions!$B$23)</f>
        <v>0</v>
      </c>
      <c r="X28" s="59">
        <f>(((IF($M28=VALUE(RIGHT(X$2,4)),$J28,0)*((1+Assumptions!$B$19)^($M28-Assumptions!$B$18)))*(1+Assumptions!$B$20))*(1+(Assumptions!$B$21+Assumptions!$B$22)))*(1+Assumptions!$B$23)</f>
        <v>0</v>
      </c>
      <c r="Y28" s="59">
        <f>(((IF($M28=VALUE(RIGHT(Y$2,4)),$J28,0)*((1+Assumptions!$B$19)^($M28-Assumptions!$B$18)))*(1+Assumptions!$B$20))*(1+(Assumptions!$B$21+Assumptions!$B$22)))*(1+Assumptions!$B$23)</f>
        <v>0</v>
      </c>
      <c r="Z28" s="59">
        <f>(((IF($M28=VALUE(RIGHT(Z$2,4)),$J28,0)*((1+Assumptions!$B$19)^($M28-Assumptions!$B$18)))*(1+Assumptions!$B$20))*(1+(Assumptions!$B$21+Assumptions!$B$22)))*(1+Assumptions!$B$23)</f>
        <v>0</v>
      </c>
      <c r="AA28" s="59">
        <f>(((IF($M28=VALUE(RIGHT(AA$2,4)),$J28,0)*((1+Assumptions!$B$19)^($M28-Assumptions!$B$18)))*(1+Assumptions!$B$20))*(1+(Assumptions!$B$21+Assumptions!$B$22)))*(1+Assumptions!$B$23)</f>
        <v>0</v>
      </c>
      <c r="AB28" s="59">
        <f>(((IF($M28=VALUE(RIGHT(AB$2,4)),$J28,0)*((1+Assumptions!$B$19)^($M28-Assumptions!$B$18)))*(1+Assumptions!$B$20))*(1+(Assumptions!$B$21+Assumptions!$B$22)))*(1+Assumptions!$B$23)</f>
        <v>0</v>
      </c>
    </row>
    <row r="29" spans="1:28" ht="12.75">
      <c r="A29" s="25">
        <v>14</v>
      </c>
      <c r="B29" s="52" t="s">
        <v>35</v>
      </c>
      <c r="C29" s="52" t="s">
        <v>172</v>
      </c>
      <c r="D29" s="3" t="s">
        <v>142</v>
      </c>
      <c r="E29" s="3" t="s">
        <v>139</v>
      </c>
      <c r="F29" t="s">
        <v>60</v>
      </c>
      <c r="G29" s="4">
        <f>LOOKUP(B29,'Heery Data'!$B$3:$B$52,'Heery Data'!$C$3:$C$52)</f>
        <v>1233014</v>
      </c>
      <c r="H29" s="4">
        <f>IF(F29="New",LOOKUP(D29,Assumptions!$A$12:$A$15,Assumptions!$B$12:$B$15)*LOOKUP(E29,Assumptions!$A$2:$A$9,Assumptions!$C$2:$C$9),0)</f>
        <v>0</v>
      </c>
      <c r="I29" s="51">
        <f>IF(F29="New",LOOKUP(E29,Assumptions!$A$2:$A$9,Assumptions!$B$2:$B$9),I29)</f>
        <v>0</v>
      </c>
      <c r="J29" s="80">
        <v>0</v>
      </c>
      <c r="K29" s="86"/>
      <c r="L29" s="4">
        <f>IF(F29="New",0,(G29*((1+Assumptions!$B$19)^($M29-Assumptions!$B$18))*(1+Assumptions!$B$20)*(1+(Assumptions!$B$21+Assumptions!$B$22))*(1+Assumptions!$B$23))-(J29*((1+Assumptions!$B$19)^($M29-Assumptions!$B$18))*(1+Assumptions!$B$20)*(1+(Assumptions!$B$21+Assumptions!$B$22))*(1+Assumptions!$B$23)))</f>
        <v>1233014</v>
      </c>
      <c r="M29" s="3">
        <v>2005</v>
      </c>
      <c r="N29" s="4">
        <v>32158</v>
      </c>
      <c r="O29" s="4">
        <v>98895</v>
      </c>
      <c r="P29" s="4">
        <f>39978+223977+5580</f>
        <v>269535</v>
      </c>
      <c r="Q29" s="4"/>
      <c r="R29" s="4">
        <f>(((IF($M29=VALUE(RIGHT(R$2,4)),$J29,0)*((1+Assumptions!$B$19)^($M29-Assumptions!$B$18)))*(1+Assumptions!$B$20))*(1+(Assumptions!$B$21+Assumptions!$B$22)))*(1+Assumptions!$B$23)</f>
        <v>0</v>
      </c>
      <c r="S29" s="4">
        <f>(((IF($M29=VALUE(RIGHT(S$2,4)),$J29,0)*((1+Assumptions!$B$19)^($M29-Assumptions!$B$18)))*(1+Assumptions!$B$20))*(1+(Assumptions!$B$21+Assumptions!$B$22)))*(1+Assumptions!$B$23)</f>
        <v>0</v>
      </c>
      <c r="T29" s="4">
        <f>(((IF($M29=VALUE(RIGHT(T$2,4)),$J29,0)*((1+Assumptions!$B$19)^($M29-Assumptions!$B$18)))*(1+Assumptions!$B$20))*(1+(Assumptions!$B$21+Assumptions!$B$22)))*(1+Assumptions!$B$23)</f>
        <v>0</v>
      </c>
      <c r="U29" s="4">
        <f>(((IF($M29=VALUE(RIGHT(U$2,4)),$J29,0)*((1+Assumptions!$B$19)^($M29-Assumptions!$B$18)))*(1+Assumptions!$B$20))*(1+(Assumptions!$B$21+Assumptions!$B$22)))*(1+Assumptions!$B$23)</f>
        <v>0</v>
      </c>
      <c r="V29" s="4">
        <f>(((IF($M29=VALUE(RIGHT(V$2,4)),$J29,0)*((1+Assumptions!$B$19)^($M29-Assumptions!$B$18)))*(1+Assumptions!$B$20))*(1+(Assumptions!$B$21+Assumptions!$B$22)))*(1+Assumptions!$B$23)</f>
        <v>0</v>
      </c>
      <c r="W29" s="4">
        <f>(((IF($M29=VALUE(RIGHT(W$2,4)),$J29,0)*((1+Assumptions!$B$19)^($M29-Assumptions!$B$18)))*(1+Assumptions!$B$20))*(1+(Assumptions!$B$21+Assumptions!$B$22)))*(1+Assumptions!$B$23)</f>
        <v>0</v>
      </c>
      <c r="X29" s="4">
        <f>(((IF($M29=VALUE(RIGHT(X$2,4)),$J29,0)*((1+Assumptions!$B$19)^($M29-Assumptions!$B$18)))*(1+Assumptions!$B$20))*(1+(Assumptions!$B$21+Assumptions!$B$22)))*(1+Assumptions!$B$23)</f>
        <v>0</v>
      </c>
      <c r="Y29" s="4">
        <f>(((IF($M29=VALUE(RIGHT(Y$2,4)),$J29,0)*((1+Assumptions!$B$19)^($M29-Assumptions!$B$18)))*(1+Assumptions!$B$20))*(1+(Assumptions!$B$21+Assumptions!$B$22)))*(1+Assumptions!$B$23)</f>
        <v>0</v>
      </c>
      <c r="Z29" s="4">
        <f>(((IF($M29=VALUE(RIGHT(Z$2,4)),$J29,0)*((1+Assumptions!$B$19)^($M29-Assumptions!$B$18)))*(1+Assumptions!$B$20))*(1+(Assumptions!$B$21+Assumptions!$B$22)))*(1+Assumptions!$B$23)</f>
        <v>0</v>
      </c>
      <c r="AA29" s="4">
        <f>(((IF($M29=VALUE(RIGHT(AA$2,4)),$J29,0)*((1+Assumptions!$B$19)^($M29-Assumptions!$B$18)))*(1+Assumptions!$B$20))*(1+(Assumptions!$B$21+Assumptions!$B$22)))*(1+Assumptions!$B$23)</f>
        <v>0</v>
      </c>
      <c r="AB29" s="4">
        <f>(((IF($M29=VALUE(RIGHT(AB$2,4)),$J29,0)*((1+Assumptions!$B$19)^($M29-Assumptions!$B$18)))*(1+Assumptions!$B$20))*(1+(Assumptions!$B$21+Assumptions!$B$22)))*(1+Assumptions!$B$23)</f>
        <v>0</v>
      </c>
    </row>
    <row r="30" spans="1:28" ht="12.75">
      <c r="A30" s="25">
        <v>37</v>
      </c>
      <c r="B30" s="52" t="s">
        <v>36</v>
      </c>
      <c r="C30" s="52" t="s">
        <v>172</v>
      </c>
      <c r="D30" s="3" t="s">
        <v>142</v>
      </c>
      <c r="E30" s="3" t="s">
        <v>138</v>
      </c>
      <c r="F30" t="s">
        <v>56</v>
      </c>
      <c r="G30" s="4">
        <f>LOOKUP(B30,'Heery Data'!$B$3:$B$52,'Heery Data'!$C$3:$C$52)</f>
        <v>351350</v>
      </c>
      <c r="H30" s="4">
        <f>IF(F30="New",LOOKUP(D30,Assumptions!$A$12:$A$15,Assumptions!$B$12:$B$15)*LOOKUP(E30,Assumptions!$A$2:$A$9,Assumptions!$C$2:$C$9),0)</f>
        <v>0</v>
      </c>
      <c r="I30" s="51">
        <f>IF(F30="New",LOOKUP(E30,Assumptions!$A$2:$A$9,Assumptions!$B$2:$B$9),I30)</f>
        <v>0</v>
      </c>
      <c r="J30" s="80">
        <v>0</v>
      </c>
      <c r="K30" s="86"/>
      <c r="L30" s="4">
        <f>IF(F30="New",0,(G30*((1+Assumptions!$B$19)^($M30-Assumptions!$B$18))*(1+Assumptions!$B$20)*(1+(Assumptions!$B$21+Assumptions!$B$22))*(1+Assumptions!$B$23))-(J30*((1+Assumptions!$B$19)^($M30-Assumptions!$B$18))*(1+Assumptions!$B$20)*(1+(Assumptions!$B$21+Assumptions!$B$22))*(1+Assumptions!$B$23)))</f>
        <v>351350</v>
      </c>
      <c r="M30" s="3">
        <v>2004</v>
      </c>
      <c r="N30" s="4">
        <f>(((IF($M30=VALUE(RIGHT(N$2,4)),$J30,0)*((1+Assumptions!$B$19)^($M30-Assumptions!$B$18)))*(1+Assumptions!$B$20))*(1+(Assumptions!$B$21+Assumptions!$B$22)))*(1+Assumptions!$B$23)</f>
        <v>0</v>
      </c>
      <c r="O30" s="4">
        <v>88214</v>
      </c>
      <c r="P30" s="4">
        <f>65347+2841+868</f>
        <v>69056</v>
      </c>
      <c r="Q30" s="4">
        <v>0</v>
      </c>
      <c r="R30" s="4">
        <f>(((IF($M30=VALUE(RIGHT(R$2,4)),$J30,0)*((1+Assumptions!$B$19)^($M30-Assumptions!$B$18)))*(1+Assumptions!$B$20))*(1+(Assumptions!$B$21+Assumptions!$B$22)))*(1+Assumptions!$B$23)</f>
        <v>0</v>
      </c>
      <c r="S30" s="4">
        <f>(((IF($M30=VALUE(RIGHT(S$2,4)),$J30,0)*((1+Assumptions!$B$19)^($M30-Assumptions!$B$18)))*(1+Assumptions!$B$20))*(1+(Assumptions!$B$21+Assumptions!$B$22)))*(1+Assumptions!$B$23)</f>
        <v>0</v>
      </c>
      <c r="T30" s="4">
        <f>(((IF($M30=VALUE(RIGHT(T$2,4)),$J30,0)*((1+Assumptions!$B$19)^($M30-Assumptions!$B$18)))*(1+Assumptions!$B$20))*(1+(Assumptions!$B$21+Assumptions!$B$22)))*(1+Assumptions!$B$23)</f>
        <v>0</v>
      </c>
      <c r="U30" s="4">
        <f>(((IF($M30=VALUE(RIGHT(U$2,4)),$J30,0)*((1+Assumptions!$B$19)^($M30-Assumptions!$B$18)))*(1+Assumptions!$B$20))*(1+(Assumptions!$B$21+Assumptions!$B$22)))*(1+Assumptions!$B$23)</f>
        <v>0</v>
      </c>
      <c r="V30" s="4">
        <f>(((IF($M30=VALUE(RIGHT(V$2,4)),$J30,0)*((1+Assumptions!$B$19)^($M30-Assumptions!$B$18)))*(1+Assumptions!$B$20))*(1+(Assumptions!$B$21+Assumptions!$B$22)))*(1+Assumptions!$B$23)</f>
        <v>0</v>
      </c>
      <c r="W30" s="4">
        <f>(((IF($M30=VALUE(RIGHT(W$2,4)),$J30,0)*((1+Assumptions!$B$19)^($M30-Assumptions!$B$18)))*(1+Assumptions!$B$20))*(1+(Assumptions!$B$21+Assumptions!$B$22)))*(1+Assumptions!$B$23)</f>
        <v>0</v>
      </c>
      <c r="X30" s="4">
        <f>(((IF($M30=VALUE(RIGHT(X$2,4)),$J30,0)*((1+Assumptions!$B$19)^($M30-Assumptions!$B$18)))*(1+Assumptions!$B$20))*(1+(Assumptions!$B$21+Assumptions!$B$22)))*(1+Assumptions!$B$23)</f>
        <v>0</v>
      </c>
      <c r="Y30" s="4">
        <f>(((IF($M30=VALUE(RIGHT(Y$2,4)),$J30,0)*((1+Assumptions!$B$19)^($M30-Assumptions!$B$18)))*(1+Assumptions!$B$20))*(1+(Assumptions!$B$21+Assumptions!$B$22)))*(1+Assumptions!$B$23)</f>
        <v>0</v>
      </c>
      <c r="Z30" s="4">
        <f>(((IF($M30=VALUE(RIGHT(Z$2,4)),$J30,0)*((1+Assumptions!$B$19)^($M30-Assumptions!$B$18)))*(1+Assumptions!$B$20))*(1+(Assumptions!$B$21+Assumptions!$B$22)))*(1+Assumptions!$B$23)</f>
        <v>0</v>
      </c>
      <c r="AA30" s="4">
        <f>(((IF($M30=VALUE(RIGHT(AA$2,4)),$J30,0)*((1+Assumptions!$B$19)^($M30-Assumptions!$B$18)))*(1+Assumptions!$B$20))*(1+(Assumptions!$B$21+Assumptions!$B$22)))*(1+Assumptions!$B$23)</f>
        <v>0</v>
      </c>
      <c r="AB30" s="4">
        <f>(((IF($M30=VALUE(RIGHT(AB$2,4)),$J30,0)*((1+Assumptions!$B$19)^($M30-Assumptions!$B$18)))*(1+Assumptions!$B$20))*(1+(Assumptions!$B$21+Assumptions!$B$22)))*(1+Assumptions!$B$23)</f>
        <v>0</v>
      </c>
    </row>
    <row r="31" spans="1:28" ht="12.75">
      <c r="A31" s="25">
        <v>37</v>
      </c>
      <c r="B31" s="62" t="s">
        <v>170</v>
      </c>
      <c r="C31" s="62" t="s">
        <v>172</v>
      </c>
      <c r="D31" s="63" t="s">
        <v>142</v>
      </c>
      <c r="E31" s="63" t="s">
        <v>138</v>
      </c>
      <c r="F31" s="25" t="s">
        <v>59</v>
      </c>
      <c r="G31" s="64">
        <v>0</v>
      </c>
      <c r="H31" s="64">
        <v>0</v>
      </c>
      <c r="I31" s="65">
        <v>0</v>
      </c>
      <c r="J31" s="80">
        <v>0</v>
      </c>
      <c r="K31" s="86"/>
      <c r="L31" s="64">
        <f>IF(F31="New",0,(G31*((1+Assumptions!$B$19)^($M31-Assumptions!$B$18))*(1+Assumptions!$B$20)*(1+(Assumptions!$B$21+Assumptions!$B$22))*(1+Assumptions!$B$23))-(J31*((1+Assumptions!$B$19)^($M31-Assumptions!$B$18))*(1+Assumptions!$B$20)*(1+(Assumptions!$B$21+Assumptions!$B$22))*(1+Assumptions!$B$23)))</f>
        <v>0</v>
      </c>
      <c r="M31" s="63">
        <v>2005</v>
      </c>
      <c r="N31" s="4">
        <f>(((IF($M31=VALUE(RIGHT(N$2,4)),$J31,0)*((1+Assumptions!$B$19)^($M31-Assumptions!$B$18)))*(1+Assumptions!$B$20))*(1+(Assumptions!$B$21+Assumptions!$B$22)))*(1+Assumptions!$B$23)</f>
        <v>0</v>
      </c>
      <c r="O31" s="4">
        <f>(((IF($M31=VALUE(RIGHT(O$2,4)),$J31,0)*((1+Assumptions!$B$19)^($M31-Assumptions!$B$18)))*(1+Assumptions!$B$20))*(1+(Assumptions!$B$21+Assumptions!$B$22)))*(1+Assumptions!$B$23)</f>
        <v>0</v>
      </c>
      <c r="P31" s="4">
        <f>(((IF($M31=VALUE(RIGHT(P$2,4)),$J31,0)*((1+Assumptions!$B$19)^($M31-Assumptions!$B$18)))*(1+Assumptions!$B$20))*(1+(Assumptions!$B$21+Assumptions!$B$22)))*(1+Assumptions!$B$23)</f>
        <v>0</v>
      </c>
      <c r="Q31" s="4">
        <f>(((IF($M31=VALUE(RIGHT(Q$2,4)),$J31,0)*((1+Assumptions!$B$19)^($M31-Assumptions!$B$18)))*(1+Assumptions!$B$20))*(1+(Assumptions!$B$21+Assumptions!$B$22)))*(1+Assumptions!$B$23)</f>
        <v>0</v>
      </c>
      <c r="R31" s="4">
        <f>(((IF($M31=VALUE(RIGHT(R$2,4)),$J31,0)*((1+Assumptions!$B$19)^($M31-Assumptions!$B$18)))*(1+Assumptions!$B$20))*(1+(Assumptions!$B$21+Assumptions!$B$22)))*(1+Assumptions!$B$23)</f>
        <v>0</v>
      </c>
      <c r="S31" s="4">
        <f>(((IF($M31=VALUE(RIGHT(S$2,4)),$J31,0)*((1+Assumptions!$B$19)^($M31-Assumptions!$B$18)))*(1+Assumptions!$B$20))*(1+(Assumptions!$B$21+Assumptions!$B$22)))*(1+Assumptions!$B$23)</f>
        <v>0</v>
      </c>
      <c r="T31" s="4">
        <f>(((IF($M31=VALUE(RIGHT(T$2,4)),$J31,0)*((1+Assumptions!$B$19)^($M31-Assumptions!$B$18)))*(1+Assumptions!$B$20))*(1+(Assumptions!$B$21+Assumptions!$B$22)))*(1+Assumptions!$B$23)</f>
        <v>0</v>
      </c>
      <c r="U31" s="4">
        <f>(((IF($M31=VALUE(RIGHT(U$2,4)),$J31,0)*((1+Assumptions!$B$19)^($M31-Assumptions!$B$18)))*(1+Assumptions!$B$20))*(1+(Assumptions!$B$21+Assumptions!$B$22)))*(1+Assumptions!$B$23)</f>
        <v>0</v>
      </c>
      <c r="V31" s="4">
        <f>(((IF($M31=VALUE(RIGHT(V$2,4)),$J31,0)*((1+Assumptions!$B$19)^($M31-Assumptions!$B$18)))*(1+Assumptions!$B$20))*(1+(Assumptions!$B$21+Assumptions!$B$22)))*(1+Assumptions!$B$23)</f>
        <v>0</v>
      </c>
      <c r="W31" s="4">
        <f>(((IF($M31=VALUE(RIGHT(W$2,4)),$J31,0)*((1+Assumptions!$B$19)^($M31-Assumptions!$B$18)))*(1+Assumptions!$B$20))*(1+(Assumptions!$B$21+Assumptions!$B$22)))*(1+Assumptions!$B$23)</f>
        <v>0</v>
      </c>
      <c r="X31" s="4">
        <f>(((IF($M31=VALUE(RIGHT(X$2,4)),$J31,0)*((1+Assumptions!$B$19)^($M31-Assumptions!$B$18)))*(1+Assumptions!$B$20))*(1+(Assumptions!$B$21+Assumptions!$B$22)))*(1+Assumptions!$B$23)</f>
        <v>0</v>
      </c>
      <c r="Y31" s="4">
        <f>(((IF($M31=VALUE(RIGHT(Y$2,4)),$J31,0)*((1+Assumptions!$B$19)^($M31-Assumptions!$B$18)))*(1+Assumptions!$B$20))*(1+(Assumptions!$B$21+Assumptions!$B$22)))*(1+Assumptions!$B$23)</f>
        <v>0</v>
      </c>
      <c r="Z31" s="4">
        <f>(((IF($M31=VALUE(RIGHT(Z$2,4)),$J31,0)*((1+Assumptions!$B$19)^($M31-Assumptions!$B$18)))*(1+Assumptions!$B$20))*(1+(Assumptions!$B$21+Assumptions!$B$22)))*(1+Assumptions!$B$23)</f>
        <v>0</v>
      </c>
      <c r="AA31" s="4">
        <f>(((IF($M31=VALUE(RIGHT(AA$2,4)),$J31,0)*((1+Assumptions!$B$19)^($M31-Assumptions!$B$18)))*(1+Assumptions!$B$20))*(1+(Assumptions!$B$21+Assumptions!$B$22)))*(1+Assumptions!$B$23)</f>
        <v>0</v>
      </c>
      <c r="AB31" s="4">
        <f>(((IF($M31=VALUE(RIGHT(AB$2,4)),$J31,0)*((1+Assumptions!$B$19)^($M31-Assumptions!$B$18)))*(1+Assumptions!$B$20))*(1+(Assumptions!$B$21+Assumptions!$B$22)))*(1+Assumptions!$B$23)</f>
        <v>0</v>
      </c>
    </row>
    <row r="32" spans="1:28" ht="12.75">
      <c r="A32" s="25">
        <v>22</v>
      </c>
      <c r="B32" s="52" t="s">
        <v>37</v>
      </c>
      <c r="C32" s="52" t="s">
        <v>173</v>
      </c>
      <c r="D32" s="3" t="s">
        <v>143</v>
      </c>
      <c r="E32" s="3" t="s">
        <v>138</v>
      </c>
      <c r="F32" t="s">
        <v>60</v>
      </c>
      <c r="G32" s="4">
        <f>LOOKUP(B32,'Heery Data'!$B$3:$B$52,'Heery Data'!$C$3:$C$52)</f>
        <v>1875628</v>
      </c>
      <c r="H32" s="4">
        <f>IF(F32="New",LOOKUP(D32,Assumptions!$A$12:$A$15,Assumptions!$B$12:$B$15)*LOOKUP(E32,Assumptions!$A$2:$A$9,Assumptions!$C$2:$C$9),0)</f>
        <v>0</v>
      </c>
      <c r="I32" s="51">
        <f>IF(F32="New",LOOKUP(E32,Assumptions!$A$2:$A$9,Assumptions!$B$2:$B$9),I32)</f>
        <v>0</v>
      </c>
      <c r="J32" s="80">
        <v>0</v>
      </c>
      <c r="K32" s="86"/>
      <c r="L32" s="4">
        <f>IF(F32="New",0,(G32*((1+Assumptions!$B$19)^($M32-Assumptions!$B$18))*(1+Assumptions!$B$20)*(1+(Assumptions!$B$21+Assumptions!$B$22))*(1+Assumptions!$B$23))-(J32*((1+Assumptions!$B$19)^($M32-Assumptions!$B$18))*(1+Assumptions!$B$20)*(1+(Assumptions!$B$21+Assumptions!$B$22))*(1+Assumptions!$B$23)))</f>
        <v>1875628</v>
      </c>
      <c r="M32" s="3">
        <v>2006</v>
      </c>
      <c r="N32" s="4">
        <v>54677</v>
      </c>
      <c r="O32" s="4">
        <v>78013</v>
      </c>
      <c r="P32" s="4">
        <f>56823+34260</f>
        <v>91083</v>
      </c>
      <c r="Q32" s="4">
        <f>(((IF($M32=VALUE(RIGHT(Q$2,4)),$J32,0)*((1+Assumptions!$B$19)^($M32-Assumptions!$B$18)))*(1+Assumptions!$B$20))*(1+(Assumptions!$B$21+Assumptions!$B$22)))*(1+Assumptions!$B$23)</f>
        <v>0</v>
      </c>
      <c r="R32" s="4">
        <f>(((IF($M32=VALUE(RIGHT(R$2,4)),$J32,0)*((1+Assumptions!$B$19)^($M32-Assumptions!$B$18)))*(1+Assumptions!$B$20))*(1+(Assumptions!$B$21+Assumptions!$B$22)))*(1+Assumptions!$B$23)</f>
        <v>0</v>
      </c>
      <c r="S32" s="4">
        <f>(((IF($M32=VALUE(RIGHT(S$2,4)),$J32,0)*((1+Assumptions!$B$19)^($M32-Assumptions!$B$18)))*(1+Assumptions!$B$20))*(1+(Assumptions!$B$21+Assumptions!$B$22)))*(1+Assumptions!$B$23)</f>
        <v>0</v>
      </c>
      <c r="T32" s="4">
        <f>(((IF($M32=VALUE(RIGHT(T$2,4)),$J32,0)*((1+Assumptions!$B$19)^($M32-Assumptions!$B$18)))*(1+Assumptions!$B$20))*(1+(Assumptions!$B$21+Assumptions!$B$22)))*(1+Assumptions!$B$23)</f>
        <v>0</v>
      </c>
      <c r="U32" s="4">
        <f>(((IF($M32=VALUE(RIGHT(U$2,4)),$J32,0)*((1+Assumptions!$B$19)^($M32-Assumptions!$B$18)))*(1+Assumptions!$B$20))*(1+(Assumptions!$B$21+Assumptions!$B$22)))*(1+Assumptions!$B$23)</f>
        <v>0</v>
      </c>
      <c r="V32" s="4">
        <f>(((IF($M32=VALUE(RIGHT(V$2,4)),$J32,0)*((1+Assumptions!$B$19)^($M32-Assumptions!$B$18)))*(1+Assumptions!$B$20))*(1+(Assumptions!$B$21+Assumptions!$B$22)))*(1+Assumptions!$B$23)</f>
        <v>0</v>
      </c>
      <c r="W32" s="4">
        <f>(((IF($M32=VALUE(RIGHT(W$2,4)),$J32,0)*((1+Assumptions!$B$19)^($M32-Assumptions!$B$18)))*(1+Assumptions!$B$20))*(1+(Assumptions!$B$21+Assumptions!$B$22)))*(1+Assumptions!$B$23)</f>
        <v>0</v>
      </c>
      <c r="X32" s="4">
        <f>(((IF($M32=VALUE(RIGHT(X$2,4)),$J32,0)*((1+Assumptions!$B$19)^($M32-Assumptions!$B$18)))*(1+Assumptions!$B$20))*(1+(Assumptions!$B$21+Assumptions!$B$22)))*(1+Assumptions!$B$23)</f>
        <v>0</v>
      </c>
      <c r="Y32" s="4">
        <f>(((IF($M32=VALUE(RIGHT(Y$2,4)),$J32,0)*((1+Assumptions!$B$19)^($M32-Assumptions!$B$18)))*(1+Assumptions!$B$20))*(1+(Assumptions!$B$21+Assumptions!$B$22)))*(1+Assumptions!$B$23)</f>
        <v>0</v>
      </c>
      <c r="Z32" s="4">
        <f>(((IF($M32=VALUE(RIGHT(Z$2,4)),$J32,0)*((1+Assumptions!$B$19)^($M32-Assumptions!$B$18)))*(1+Assumptions!$B$20))*(1+(Assumptions!$B$21+Assumptions!$B$22)))*(1+Assumptions!$B$23)</f>
        <v>0</v>
      </c>
      <c r="AA32" s="4">
        <f>(((IF($M32=VALUE(RIGHT(AA$2,4)),$J32,0)*((1+Assumptions!$B$19)^($M32-Assumptions!$B$18)))*(1+Assumptions!$B$20))*(1+(Assumptions!$B$21+Assumptions!$B$22)))*(1+Assumptions!$B$23)</f>
        <v>0</v>
      </c>
      <c r="AB32" s="4">
        <f>(((IF($M32=VALUE(RIGHT(AB$2,4)),$J32,0)*((1+Assumptions!$B$19)^($M32-Assumptions!$B$18)))*(1+Assumptions!$B$20))*(1+(Assumptions!$B$21+Assumptions!$B$22)))*(1+Assumptions!$B$23)</f>
        <v>0</v>
      </c>
    </row>
    <row r="33" spans="1:28" ht="12.75">
      <c r="A33" s="25" t="s">
        <v>146</v>
      </c>
      <c r="B33" s="52" t="s">
        <v>155</v>
      </c>
      <c r="C33" s="52" t="s">
        <v>172</v>
      </c>
      <c r="D33" s="3" t="s">
        <v>143</v>
      </c>
      <c r="E33" s="3" t="s">
        <v>138</v>
      </c>
      <c r="F33" t="s">
        <v>59</v>
      </c>
      <c r="G33" s="4">
        <v>0</v>
      </c>
      <c r="H33" s="4">
        <v>400000</v>
      </c>
      <c r="I33" s="51">
        <f>IF(F33="New",LOOKUP(E33,Assumptions!$A$2:$A$9,Assumptions!$B$2:$B$9),I33)</f>
        <v>2252154</v>
      </c>
      <c r="J33" s="80">
        <f>IF(F33="New",LOOKUP(E33,Assumptions!$A$2:$A$9,Assumptions!$B$2:$B$9),#REF!)+H33</f>
        <v>2652154</v>
      </c>
      <c r="K33" s="86">
        <v>1108813</v>
      </c>
      <c r="L33" s="4">
        <f>IF(F33="New",0,(G33*((1+Assumptions!$B$19)^($M33-Assumptions!$B$18))*(1+Assumptions!$B$20)*(1+(Assumptions!$B$21+Assumptions!$B$22))*(1+Assumptions!$B$23))-(J33*((1+Assumptions!$B$19)^($M33-Assumptions!$B$18))*(1+Assumptions!$B$20)*(1+(Assumptions!$B$21+Assumptions!$B$22))*(1+Assumptions!$B$23)))</f>
        <v>0</v>
      </c>
      <c r="M33" s="3">
        <v>2006</v>
      </c>
      <c r="N33" s="4">
        <f>(((IF($M33=VALUE(RIGHT(N$2,4)),$J33,0)*((1+Assumptions!$B$19)^($M33-Assumptions!$B$18)))*(1+Assumptions!$B$20))*(1+(Assumptions!$B$21+Assumptions!$B$22)))*(1+Assumptions!$B$23)</f>
        <v>0</v>
      </c>
      <c r="O33" s="4">
        <f>J33/2</f>
        <v>1326077</v>
      </c>
      <c r="P33" s="4">
        <f>K33/2</f>
        <v>554406.5</v>
      </c>
      <c r="Q33" s="4">
        <f>(((IF($M33=VALUE(RIGHT(Q$2,4)),$J33,0)*((1+Assumptions!$B$19)^($M33-Assumptions!$B$18)))*(1+Assumptions!$B$20))*(1+(Assumptions!$B$21+Assumptions!$B$22)))*(1+Assumptions!$B$23)</f>
        <v>0</v>
      </c>
      <c r="R33" s="4">
        <f>(((IF($M33=VALUE(RIGHT(R$2,4)),$J33,0)*((1+Assumptions!$B$19)^($M33-Assumptions!$B$18)))*(1+Assumptions!$B$20))*(1+(Assumptions!$B$21+Assumptions!$B$22)))*(1+Assumptions!$B$23)</f>
        <v>0</v>
      </c>
      <c r="S33" s="4">
        <f>(((IF($M33=VALUE(RIGHT(S$2,4)),$J33,0)*((1+Assumptions!$B$19)^($M33-Assumptions!$B$18)))*(1+Assumptions!$B$20))*(1+(Assumptions!$B$21+Assumptions!$B$22)))*(1+Assumptions!$B$23)</f>
        <v>0</v>
      </c>
      <c r="T33" s="4">
        <f>(((IF($M33=VALUE(RIGHT(T$2,4)),$J33,0)*((1+Assumptions!$B$19)^($M33-Assumptions!$B$18)))*(1+Assumptions!$B$20))*(1+(Assumptions!$B$21+Assumptions!$B$22)))*(1+Assumptions!$B$23)</f>
        <v>0</v>
      </c>
      <c r="U33" s="4">
        <f>(((IF($M33=VALUE(RIGHT(U$2,4)),$J33,0)*((1+Assumptions!$B$19)^($M33-Assumptions!$B$18)))*(1+Assumptions!$B$20))*(1+(Assumptions!$B$21+Assumptions!$B$22)))*(1+Assumptions!$B$23)</f>
        <v>0</v>
      </c>
      <c r="V33" s="4">
        <f>(((IF($M33=VALUE(RIGHT(V$2,4)),$J33,0)*((1+Assumptions!$B$19)^($M33-Assumptions!$B$18)))*(1+Assumptions!$B$20))*(1+(Assumptions!$B$21+Assumptions!$B$22)))*(1+Assumptions!$B$23)</f>
        <v>0</v>
      </c>
      <c r="W33" s="4">
        <f>(((IF($M33=VALUE(RIGHT(W$2,4)),$J33,0)*((1+Assumptions!$B$19)^($M33-Assumptions!$B$18)))*(1+Assumptions!$B$20))*(1+(Assumptions!$B$21+Assumptions!$B$22)))*(1+Assumptions!$B$23)</f>
        <v>0</v>
      </c>
      <c r="X33" s="4">
        <f>(((IF($M33=VALUE(RIGHT(X$2,4)),$J33,0)*((1+Assumptions!$B$19)^($M33-Assumptions!$B$18)))*(1+Assumptions!$B$20))*(1+(Assumptions!$B$21+Assumptions!$B$22)))*(1+Assumptions!$B$23)</f>
        <v>0</v>
      </c>
      <c r="Y33" s="4">
        <f>(((IF($M33=VALUE(RIGHT(Y$2,4)),$J33,0)*((1+Assumptions!$B$19)^($M33-Assumptions!$B$18)))*(1+Assumptions!$B$20))*(1+(Assumptions!$B$21+Assumptions!$B$22)))*(1+Assumptions!$B$23)</f>
        <v>0</v>
      </c>
      <c r="Z33" s="4">
        <f>(((IF($M33=VALUE(RIGHT(Z$2,4)),$J33,0)*((1+Assumptions!$B$19)^($M33-Assumptions!$B$18)))*(1+Assumptions!$B$20))*(1+(Assumptions!$B$21+Assumptions!$B$22)))*(1+Assumptions!$B$23)</f>
        <v>0</v>
      </c>
      <c r="AA33" s="4">
        <f>(((IF($M33=VALUE(RIGHT(AA$2,4)),$J33,0)*((1+Assumptions!$B$19)^($M33-Assumptions!$B$18)))*(1+Assumptions!$B$20))*(1+(Assumptions!$B$21+Assumptions!$B$22)))*(1+Assumptions!$B$23)</f>
        <v>0</v>
      </c>
      <c r="AB33" s="4">
        <f>(((IF($M33=VALUE(RIGHT(AB$2,4)),$J33,0)*((1+Assumptions!$B$19)^($M33-Assumptions!$B$18)))*(1+Assumptions!$B$20))*(1+(Assumptions!$B$21+Assumptions!$B$22)))*(1+Assumptions!$B$23)</f>
        <v>0</v>
      </c>
    </row>
    <row r="34" spans="1:28" ht="12.75">
      <c r="A34" s="25" t="s">
        <v>146</v>
      </c>
      <c r="B34" s="52" t="s">
        <v>156</v>
      </c>
      <c r="C34" s="52" t="s">
        <v>172</v>
      </c>
      <c r="D34" s="3" t="s">
        <v>143</v>
      </c>
      <c r="E34" s="3" t="s">
        <v>139</v>
      </c>
      <c r="F34" t="s">
        <v>59</v>
      </c>
      <c r="G34" s="4">
        <f>LOOKUP(B34,'Heery Data'!$B$3:$B$52,'Heery Data'!$C$3:$C$52)</f>
        <v>0</v>
      </c>
      <c r="H34" s="4">
        <v>120000</v>
      </c>
      <c r="I34" s="51">
        <f>IF(F34="New",LOOKUP(E34,Assumptions!$A$2:$A$9,Assumptions!$B$2:$B$9),I34)</f>
        <v>1424020</v>
      </c>
      <c r="J34" s="80">
        <f>IF(F34="New",LOOKUP(E34,Assumptions!$A$2:$A$9,Assumptions!$B$2:$B$9),#REF!)+H34</f>
        <v>1544020</v>
      </c>
      <c r="K34" s="86">
        <v>919126</v>
      </c>
      <c r="L34" s="4">
        <f>IF(F34="New",0,(G34*((1+Assumptions!$B$19)^($M34-Assumptions!$B$18))*(1+Assumptions!$B$20)*(1+(Assumptions!$B$21+Assumptions!$B$22))*(1+Assumptions!$B$23))-(J34*((1+Assumptions!$B$19)^($M34-Assumptions!$B$18))*(1+Assumptions!$B$20)*(1+(Assumptions!$B$21+Assumptions!$B$22))*(1+Assumptions!$B$23)))</f>
        <v>0</v>
      </c>
      <c r="M34" s="3">
        <v>2006</v>
      </c>
      <c r="N34" s="4">
        <f>(((IF($M34=VALUE(RIGHT(N$2,4)),$J34,0)*((1+Assumptions!$B$19)^($M34-Assumptions!$B$18)))*(1+Assumptions!$B$20))*(1+(Assumptions!$B$21+Assumptions!$B$22)))*(1+Assumptions!$B$23)</f>
        <v>0</v>
      </c>
      <c r="O34" s="4">
        <f>K34/2</f>
        <v>459563</v>
      </c>
      <c r="P34" s="4">
        <f>K34/2</f>
        <v>459563</v>
      </c>
      <c r="Q34" s="4">
        <f>(((IF($M34=VALUE(RIGHT(Q$2,4)),$J34,0)*((1+Assumptions!$B$19)^($M34-Assumptions!$B$18)))*(1+Assumptions!$B$20))*(1+(Assumptions!$B$21+Assumptions!$B$22)))*(1+Assumptions!$B$23)</f>
        <v>0</v>
      </c>
      <c r="R34" s="4">
        <f>(((IF($M34=VALUE(RIGHT(R$2,4)),$J34,0)*((1+Assumptions!$B$19)^($M34-Assumptions!$B$18)))*(1+Assumptions!$B$20))*(1+(Assumptions!$B$21+Assumptions!$B$22)))*(1+Assumptions!$B$23)</f>
        <v>0</v>
      </c>
      <c r="S34" s="4">
        <f>(((IF($M34=VALUE(RIGHT(S$2,4)),$J34,0)*((1+Assumptions!$B$19)^($M34-Assumptions!$B$18)))*(1+Assumptions!$B$20))*(1+(Assumptions!$B$21+Assumptions!$B$22)))*(1+Assumptions!$B$23)</f>
        <v>0</v>
      </c>
      <c r="T34" s="4">
        <f>(((IF($M34=VALUE(RIGHT(T$2,4)),$J34,0)*((1+Assumptions!$B$19)^($M34-Assumptions!$B$18)))*(1+Assumptions!$B$20))*(1+(Assumptions!$B$21+Assumptions!$B$22)))*(1+Assumptions!$B$23)</f>
        <v>0</v>
      </c>
      <c r="U34" s="4">
        <f>(((IF($M34=VALUE(RIGHT(U$2,4)),$J34,0)*((1+Assumptions!$B$19)^($M34-Assumptions!$B$18)))*(1+Assumptions!$B$20))*(1+(Assumptions!$B$21+Assumptions!$B$22)))*(1+Assumptions!$B$23)</f>
        <v>0</v>
      </c>
      <c r="V34" s="4">
        <f>(((IF($M34=VALUE(RIGHT(V$2,4)),$J34,0)*((1+Assumptions!$B$19)^($M34-Assumptions!$B$18)))*(1+Assumptions!$B$20))*(1+(Assumptions!$B$21+Assumptions!$B$22)))*(1+Assumptions!$B$23)</f>
        <v>0</v>
      </c>
      <c r="W34" s="4">
        <f>(((IF($M34=VALUE(RIGHT(W$2,4)),$J34,0)*((1+Assumptions!$B$19)^($M34-Assumptions!$B$18)))*(1+Assumptions!$B$20))*(1+(Assumptions!$B$21+Assumptions!$B$22)))*(1+Assumptions!$B$23)</f>
        <v>0</v>
      </c>
      <c r="X34" s="4">
        <f>(((IF($M34=VALUE(RIGHT(X$2,4)),$J34,0)*((1+Assumptions!$B$19)^($M34-Assumptions!$B$18)))*(1+Assumptions!$B$20))*(1+(Assumptions!$B$21+Assumptions!$B$22)))*(1+Assumptions!$B$23)</f>
        <v>0</v>
      </c>
      <c r="Y34" s="4">
        <f>(((IF($M34=VALUE(RIGHT(Y$2,4)),$J34,0)*((1+Assumptions!$B$19)^($M34-Assumptions!$B$18)))*(1+Assumptions!$B$20))*(1+(Assumptions!$B$21+Assumptions!$B$22)))*(1+Assumptions!$B$23)</f>
        <v>0</v>
      </c>
      <c r="Z34" s="4">
        <f>(((IF($M34=VALUE(RIGHT(Z$2,4)),$J34,0)*((1+Assumptions!$B$19)^($M34-Assumptions!$B$18)))*(1+Assumptions!$B$20))*(1+(Assumptions!$B$21+Assumptions!$B$22)))*(1+Assumptions!$B$23)</f>
        <v>0</v>
      </c>
      <c r="AA34" s="4">
        <f>(((IF($M34=VALUE(RIGHT(AA$2,4)),$J34,0)*((1+Assumptions!$B$19)^($M34-Assumptions!$B$18)))*(1+Assumptions!$B$20))*(1+(Assumptions!$B$21+Assumptions!$B$22)))*(1+Assumptions!$B$23)</f>
        <v>0</v>
      </c>
      <c r="AB34" s="4">
        <f>(((IF($M34=VALUE(RIGHT(AB$2,4)),$J34,0)*((1+Assumptions!$B$19)^($M34-Assumptions!$B$18)))*(1+Assumptions!$B$20))*(1+(Assumptions!$B$21+Assumptions!$B$22)))*(1+Assumptions!$B$23)</f>
        <v>0</v>
      </c>
    </row>
    <row r="35" spans="1:28" ht="12.75">
      <c r="A35">
        <v>23</v>
      </c>
      <c r="B35" s="52" t="s">
        <v>40</v>
      </c>
      <c r="C35" s="52" t="s">
        <v>172</v>
      </c>
      <c r="D35" s="3" t="s">
        <v>142</v>
      </c>
      <c r="E35" s="3" t="s">
        <v>138</v>
      </c>
      <c r="F35" t="s">
        <v>56</v>
      </c>
      <c r="G35" s="4">
        <f>LOOKUP(B35,'Heery Data'!$B$3:$B$52,'Heery Data'!$C$3:$C$52)</f>
        <v>467696</v>
      </c>
      <c r="H35" s="4">
        <f>IF(F35="New",LOOKUP(D35,Assumptions!$A$12:$A$15,Assumptions!$B$12:$B$15)*LOOKUP(E35,Assumptions!$A$2:$A$9,Assumptions!$C$2:$C$9),0)</f>
        <v>0</v>
      </c>
      <c r="I35" s="51">
        <f>IF(F35="New",LOOKUP(E35,Assumptions!$A$2:$A$9,Assumptions!$B$2:$B$9),I35)</f>
        <v>0</v>
      </c>
      <c r="J35" s="80">
        <v>0</v>
      </c>
      <c r="K35" s="86"/>
      <c r="L35" s="4">
        <f>IF(F35="New",0,(G35*((1+Assumptions!$B$19)^($M35-Assumptions!$B$18))*(1+Assumptions!$B$20)*(1+(Assumptions!$B$21+Assumptions!$B$22))*(1+Assumptions!$B$23))-(J35*((1+Assumptions!$B$19)^($M35-Assumptions!$B$18))*(1+Assumptions!$B$20)*(1+(Assumptions!$B$21+Assumptions!$B$22))*(1+Assumptions!$B$23)))</f>
        <v>467696</v>
      </c>
      <c r="M35" s="3">
        <v>2004</v>
      </c>
      <c r="N35" s="4">
        <f>(((IF($M35=VALUE(RIGHT(N$2,4)),$J35,0)*((1+Assumptions!$B$19)^($M35-Assumptions!$B$18)))*(1+Assumptions!$B$20))*(1+(Assumptions!$B$21+Assumptions!$B$22)))*(1+Assumptions!$B$23)</f>
        <v>0</v>
      </c>
      <c r="O35" s="4">
        <v>127519</v>
      </c>
      <c r="P35" s="4">
        <f>45458+2841+18767</f>
        <v>67066</v>
      </c>
      <c r="Q35" s="4">
        <v>0</v>
      </c>
      <c r="R35" s="4">
        <f>(((IF($M35=VALUE(RIGHT(R$2,4)),$J35,0)*((1+Assumptions!$B$19)^($M35-Assumptions!$B$18)))*(1+Assumptions!$B$20))*(1+(Assumptions!$B$21+Assumptions!$B$22)))*(1+Assumptions!$B$23)</f>
        <v>0</v>
      </c>
      <c r="S35" s="4">
        <f>(((IF($M35=VALUE(RIGHT(S$2,4)),$J35,0)*((1+Assumptions!$B$19)^($M35-Assumptions!$B$18)))*(1+Assumptions!$B$20))*(1+(Assumptions!$B$21+Assumptions!$B$22)))*(1+Assumptions!$B$23)</f>
        <v>0</v>
      </c>
      <c r="T35" s="4">
        <f>(((IF($M35=VALUE(RIGHT(T$2,4)),$J35,0)*((1+Assumptions!$B$19)^($M35-Assumptions!$B$18)))*(1+Assumptions!$B$20))*(1+(Assumptions!$B$21+Assumptions!$B$22)))*(1+Assumptions!$B$23)</f>
        <v>0</v>
      </c>
      <c r="U35" s="4">
        <f>(((IF($M35=VALUE(RIGHT(U$2,4)),$J35,0)*((1+Assumptions!$B$19)^($M35-Assumptions!$B$18)))*(1+Assumptions!$B$20))*(1+(Assumptions!$B$21+Assumptions!$B$22)))*(1+Assumptions!$B$23)</f>
        <v>0</v>
      </c>
      <c r="V35" s="4">
        <f>(((IF($M35=VALUE(RIGHT(V$2,4)),$J35,0)*((1+Assumptions!$B$19)^($M35-Assumptions!$B$18)))*(1+Assumptions!$B$20))*(1+(Assumptions!$B$21+Assumptions!$B$22)))*(1+Assumptions!$B$23)</f>
        <v>0</v>
      </c>
      <c r="W35" s="4">
        <f>(((IF($M35=VALUE(RIGHT(W$2,4)),$J35,0)*((1+Assumptions!$B$19)^($M35-Assumptions!$B$18)))*(1+Assumptions!$B$20))*(1+(Assumptions!$B$21+Assumptions!$B$22)))*(1+Assumptions!$B$23)</f>
        <v>0</v>
      </c>
      <c r="X35" s="4">
        <f>(((IF($M35=VALUE(RIGHT(X$2,4)),$J35,0)*((1+Assumptions!$B$19)^($M35-Assumptions!$B$18)))*(1+Assumptions!$B$20))*(1+(Assumptions!$B$21+Assumptions!$B$22)))*(1+Assumptions!$B$23)</f>
        <v>0</v>
      </c>
      <c r="Y35" s="4">
        <f>(((IF($M35=VALUE(RIGHT(Y$2,4)),$J35,0)*((1+Assumptions!$B$19)^($M35-Assumptions!$B$18)))*(1+Assumptions!$B$20))*(1+(Assumptions!$B$21+Assumptions!$B$22)))*(1+Assumptions!$B$23)</f>
        <v>0</v>
      </c>
      <c r="Z35" s="4">
        <f>(((IF($M35=VALUE(RIGHT(Z$2,4)),$J35,0)*((1+Assumptions!$B$19)^($M35-Assumptions!$B$18)))*(1+Assumptions!$B$20))*(1+(Assumptions!$B$21+Assumptions!$B$22)))*(1+Assumptions!$B$23)</f>
        <v>0</v>
      </c>
      <c r="AA35" s="4">
        <f>(((IF($M35=VALUE(RIGHT(AA$2,4)),$J35,0)*((1+Assumptions!$B$19)^($M35-Assumptions!$B$18)))*(1+Assumptions!$B$20))*(1+(Assumptions!$B$21+Assumptions!$B$22)))*(1+Assumptions!$B$23)</f>
        <v>0</v>
      </c>
      <c r="AB35" s="4">
        <f>(((IF($M35=VALUE(RIGHT(AB$2,4)),$J35,0)*((1+Assumptions!$B$19)^($M35-Assumptions!$B$18)))*(1+Assumptions!$B$20))*(1+(Assumptions!$B$21+Assumptions!$B$22)))*(1+Assumptions!$B$23)</f>
        <v>0</v>
      </c>
    </row>
    <row r="36" spans="1:28" ht="12.75">
      <c r="A36">
        <v>23</v>
      </c>
      <c r="B36" s="52" t="s">
        <v>179</v>
      </c>
      <c r="C36" s="52" t="s">
        <v>172</v>
      </c>
      <c r="D36" s="3" t="s">
        <v>142</v>
      </c>
      <c r="E36" s="3" t="s">
        <v>138</v>
      </c>
      <c r="F36" t="s">
        <v>59</v>
      </c>
      <c r="G36" s="4">
        <v>0</v>
      </c>
      <c r="H36" s="4">
        <v>0</v>
      </c>
      <c r="I36" s="51">
        <v>0</v>
      </c>
      <c r="J36" s="80">
        <v>0</v>
      </c>
      <c r="K36" s="86"/>
      <c r="L36" s="4">
        <f>IF(F36="New",0,(G36*((1+Assumptions!$B$19)^($M36-Assumptions!$B$18))*(1+Assumptions!$B$20)*(1+(Assumptions!$B$21+Assumptions!$B$22))*(1+Assumptions!$B$23))-(J36*((1+Assumptions!$B$19)^($M36-Assumptions!$B$18))*(1+Assumptions!$B$20)*(1+(Assumptions!$B$21+Assumptions!$B$22))*(1+Assumptions!$B$23)))</f>
        <v>0</v>
      </c>
      <c r="M36" s="3">
        <v>2006</v>
      </c>
      <c r="N36" s="4">
        <f>(((IF($M36=VALUE(RIGHT(N$2,4)),$J36,0)*((1+Assumptions!$B$19)^($M36-Assumptions!$B$18)))*(1+Assumptions!$B$20))*(1+(Assumptions!$B$21+Assumptions!$B$22)))*(1+Assumptions!$B$23)</f>
        <v>0</v>
      </c>
      <c r="O36" s="4">
        <f>(((IF($M36=VALUE(RIGHT(O$2,4)),$J36,0)*((1+Assumptions!$B$19)^($M36-Assumptions!$B$18)))*(1+Assumptions!$B$20))*(1+(Assumptions!$B$21+Assumptions!$B$22)))*(1+Assumptions!$B$23)</f>
        <v>0</v>
      </c>
      <c r="P36" s="4">
        <f>(((IF($M36=VALUE(RIGHT(P$2,4)),$J36,0)*((1+Assumptions!$B$19)^($M36-Assumptions!$B$18)))*(1+Assumptions!$B$20))*(1+(Assumptions!$B$21+Assumptions!$B$22)))*(1+Assumptions!$B$23)</f>
        <v>0</v>
      </c>
      <c r="Q36" s="4">
        <f>(((IF($M36=VALUE(RIGHT(Q$2,4)),$J36,0)*((1+Assumptions!$B$19)^($M36-Assumptions!$B$18)))*(1+Assumptions!$B$20))*(1+(Assumptions!$B$21+Assumptions!$B$22)))*(1+Assumptions!$B$23)</f>
        <v>0</v>
      </c>
      <c r="R36" s="4">
        <f>(((IF($M36=VALUE(RIGHT(R$2,4)),$J36,0)*((1+Assumptions!$B$19)^($M36-Assumptions!$B$18)))*(1+Assumptions!$B$20))*(1+(Assumptions!$B$21+Assumptions!$B$22)))*(1+Assumptions!$B$23)</f>
        <v>0</v>
      </c>
      <c r="S36" s="4">
        <f>(((IF($M36=VALUE(RIGHT(S$2,4)),$J36,0)*((1+Assumptions!$B$19)^($M36-Assumptions!$B$18)))*(1+Assumptions!$B$20))*(1+(Assumptions!$B$21+Assumptions!$B$22)))*(1+Assumptions!$B$23)</f>
        <v>0</v>
      </c>
      <c r="T36" s="4">
        <f>(((IF($M36=VALUE(RIGHT(T$2,4)),$J36,0)*((1+Assumptions!$B$19)^($M36-Assumptions!$B$18)))*(1+Assumptions!$B$20))*(1+(Assumptions!$B$21+Assumptions!$B$22)))*(1+Assumptions!$B$23)</f>
        <v>0</v>
      </c>
      <c r="U36" s="4">
        <f>(((IF($M36=VALUE(RIGHT(U$2,4)),$J36,0)*((1+Assumptions!$B$19)^($M36-Assumptions!$B$18)))*(1+Assumptions!$B$20))*(1+(Assumptions!$B$21+Assumptions!$B$22)))*(1+Assumptions!$B$23)</f>
        <v>0</v>
      </c>
      <c r="V36" s="4">
        <f>(((IF($M36=VALUE(RIGHT(V$2,4)),$J36,0)*((1+Assumptions!$B$19)^($M36-Assumptions!$B$18)))*(1+Assumptions!$B$20))*(1+(Assumptions!$B$21+Assumptions!$B$22)))*(1+Assumptions!$B$23)</f>
        <v>0</v>
      </c>
      <c r="W36" s="4">
        <f>(((IF($M36=VALUE(RIGHT(W$2,4)),$J36,0)*((1+Assumptions!$B$19)^($M36-Assumptions!$B$18)))*(1+Assumptions!$B$20))*(1+(Assumptions!$B$21+Assumptions!$B$22)))*(1+Assumptions!$B$23)</f>
        <v>0</v>
      </c>
      <c r="X36" s="4">
        <f>(((IF($M36=VALUE(RIGHT(X$2,4)),$J36,0)*((1+Assumptions!$B$19)^($M36-Assumptions!$B$18)))*(1+Assumptions!$B$20))*(1+(Assumptions!$B$21+Assumptions!$B$22)))*(1+Assumptions!$B$23)</f>
        <v>0</v>
      </c>
      <c r="Y36" s="4">
        <f>(((IF($M36=VALUE(RIGHT(Y$2,4)),$J36,0)*((1+Assumptions!$B$19)^($M36-Assumptions!$B$18)))*(1+Assumptions!$B$20))*(1+(Assumptions!$B$21+Assumptions!$B$22)))*(1+Assumptions!$B$23)</f>
        <v>0</v>
      </c>
      <c r="Z36" s="4">
        <f>(((IF($M36=VALUE(RIGHT(Z$2,4)),$J36,0)*((1+Assumptions!$B$19)^($M36-Assumptions!$B$18)))*(1+Assumptions!$B$20))*(1+(Assumptions!$B$21+Assumptions!$B$22)))*(1+Assumptions!$B$23)</f>
        <v>0</v>
      </c>
      <c r="AA36" s="4">
        <f>(((IF($M36=VALUE(RIGHT(AA$2,4)),$J36,0)*((1+Assumptions!$B$19)^($M36-Assumptions!$B$18)))*(1+Assumptions!$B$20))*(1+(Assumptions!$B$21+Assumptions!$B$22)))*(1+Assumptions!$B$23)</f>
        <v>0</v>
      </c>
      <c r="AB36" s="4">
        <f>(((IF($M36=VALUE(RIGHT(AB$2,4)),$J36,0)*((1+Assumptions!$B$19)^($M36-Assumptions!$B$18)))*(1+Assumptions!$B$20))*(1+(Assumptions!$B$21+Assumptions!$B$22)))*(1+Assumptions!$B$23)</f>
        <v>0</v>
      </c>
    </row>
    <row r="37" spans="1:28" ht="12.75">
      <c r="A37">
        <v>42</v>
      </c>
      <c r="B37" s="52" t="s">
        <v>41</v>
      </c>
      <c r="C37" s="52" t="s">
        <v>172</v>
      </c>
      <c r="D37" s="3" t="s">
        <v>142</v>
      </c>
      <c r="E37" s="3" t="s">
        <v>139</v>
      </c>
      <c r="F37" t="s">
        <v>60</v>
      </c>
      <c r="G37" s="4">
        <f>LOOKUP(B37,'Heery Data'!$B$3:$B$52,'Heery Data'!$C$3:$C$52)</f>
        <v>425210</v>
      </c>
      <c r="H37" s="4">
        <f>IF(F37="New",LOOKUP(D37,Assumptions!$A$12:$A$15,Assumptions!$B$12:$B$15)*LOOKUP(E37,Assumptions!$A$2:$A$9,Assumptions!$C$2:$C$9),0)</f>
        <v>0</v>
      </c>
      <c r="I37" s="51">
        <f>IF(F37="New",LOOKUP(E37,Assumptions!$A$2:$A$9,Assumptions!$B$2:$B$9),I37)</f>
        <v>0</v>
      </c>
      <c r="J37" s="80">
        <v>0</v>
      </c>
      <c r="K37" s="86"/>
      <c r="L37" s="4">
        <f>IF(F37="New",0,(G37*((1+Assumptions!$B$19)^($M37-Assumptions!$B$18))*(1+Assumptions!$B$20)*(1+(Assumptions!$B$21+Assumptions!$B$22))*(1+Assumptions!$B$23))-(J37*((1+Assumptions!$B$19)^($M37-Assumptions!$B$18))*(1+Assumptions!$B$20)*(1+(Assumptions!$B$21+Assumptions!$B$22))*(1+Assumptions!$B$23)))</f>
        <v>425210</v>
      </c>
      <c r="M37" s="3">
        <v>2005</v>
      </c>
      <c r="N37" s="4">
        <v>11152</v>
      </c>
      <c r="O37" s="4">
        <v>19747</v>
      </c>
      <c r="P37" s="4">
        <v>2310</v>
      </c>
      <c r="Q37" s="4">
        <v>127852</v>
      </c>
      <c r="R37" s="4">
        <f>(((IF($M37=VALUE(RIGHT(R$2,4)),$J37,0)*((1+Assumptions!$B$19)^($M37-Assumptions!$B$18)))*(1+Assumptions!$B$20))*(1+(Assumptions!$B$21+Assumptions!$B$22)))*(1+Assumptions!$B$23)</f>
        <v>0</v>
      </c>
      <c r="S37" s="4">
        <f>(((IF($M37=VALUE(RIGHT(S$2,4)),$J37,0)*((1+Assumptions!$B$19)^($M37-Assumptions!$B$18)))*(1+Assumptions!$B$20))*(1+(Assumptions!$B$21+Assumptions!$B$22)))*(1+Assumptions!$B$23)</f>
        <v>0</v>
      </c>
      <c r="T37" s="4">
        <f>(((IF($M37=VALUE(RIGHT(T$2,4)),$J37,0)*((1+Assumptions!$B$19)^($M37-Assumptions!$B$18)))*(1+Assumptions!$B$20))*(1+(Assumptions!$B$21+Assumptions!$B$22)))*(1+Assumptions!$B$23)</f>
        <v>0</v>
      </c>
      <c r="U37" s="4">
        <f>(((IF($M37=VALUE(RIGHT(U$2,4)),$J37,0)*((1+Assumptions!$B$19)^($M37-Assumptions!$B$18)))*(1+Assumptions!$B$20))*(1+(Assumptions!$B$21+Assumptions!$B$22)))*(1+Assumptions!$B$23)</f>
        <v>0</v>
      </c>
      <c r="V37" s="4">
        <f>(((IF($M37=VALUE(RIGHT(V$2,4)),$J37,0)*((1+Assumptions!$B$19)^($M37-Assumptions!$B$18)))*(1+Assumptions!$B$20))*(1+(Assumptions!$B$21+Assumptions!$B$22)))*(1+Assumptions!$B$23)</f>
        <v>0</v>
      </c>
      <c r="W37" s="4">
        <f>(((IF($M37=VALUE(RIGHT(W$2,4)),$J37,0)*((1+Assumptions!$B$19)^($M37-Assumptions!$B$18)))*(1+Assumptions!$B$20))*(1+(Assumptions!$B$21+Assumptions!$B$22)))*(1+Assumptions!$B$23)</f>
        <v>0</v>
      </c>
      <c r="X37" s="4">
        <f>(((IF($M37=VALUE(RIGHT(X$2,4)),$J37,0)*((1+Assumptions!$B$19)^($M37-Assumptions!$B$18)))*(1+Assumptions!$B$20))*(1+(Assumptions!$B$21+Assumptions!$B$22)))*(1+Assumptions!$B$23)</f>
        <v>0</v>
      </c>
      <c r="Y37" s="4">
        <f>(((IF($M37=VALUE(RIGHT(Y$2,4)),$J37,0)*((1+Assumptions!$B$19)^($M37-Assumptions!$B$18)))*(1+Assumptions!$B$20))*(1+(Assumptions!$B$21+Assumptions!$B$22)))*(1+Assumptions!$B$23)</f>
        <v>0</v>
      </c>
      <c r="Z37" s="4">
        <f>(((IF($M37=VALUE(RIGHT(Z$2,4)),$J37,0)*((1+Assumptions!$B$19)^($M37-Assumptions!$B$18)))*(1+Assumptions!$B$20))*(1+(Assumptions!$B$21+Assumptions!$B$22)))*(1+Assumptions!$B$23)</f>
        <v>0</v>
      </c>
      <c r="AA37" s="4">
        <f>(((IF($M37=VALUE(RIGHT(AA$2,4)),$J37,0)*((1+Assumptions!$B$19)^($M37-Assumptions!$B$18)))*(1+Assumptions!$B$20))*(1+(Assumptions!$B$21+Assumptions!$B$22)))*(1+Assumptions!$B$23)</f>
        <v>0</v>
      </c>
      <c r="AB37" s="4">
        <f>(((IF($M37=VALUE(RIGHT(AB$2,4)),$J37,0)*((1+Assumptions!$B$19)^($M37-Assumptions!$B$18)))*(1+Assumptions!$B$20))*(1+(Assumptions!$B$21+Assumptions!$B$22)))*(1+Assumptions!$B$23)</f>
        <v>0</v>
      </c>
    </row>
    <row r="38" spans="1:28" ht="12.75">
      <c r="A38">
        <v>24</v>
      </c>
      <c r="B38" s="52" t="s">
        <v>228</v>
      </c>
      <c r="C38" s="52" t="s">
        <v>172</v>
      </c>
      <c r="D38" s="3" t="s">
        <v>142</v>
      </c>
      <c r="E38" s="3" t="s">
        <v>139</v>
      </c>
      <c r="F38" t="s">
        <v>56</v>
      </c>
      <c r="G38" s="4">
        <f>LOOKUP(B38,'Heery Data'!$B$3:$B$52,'Heery Data'!$C$3:$C$52)</f>
        <v>446634</v>
      </c>
      <c r="H38" s="4">
        <f>IF(F38="New",LOOKUP(D38,Assumptions!$A$12:$A$15,Assumptions!$B$12:$B$15)*LOOKUP(E38,Assumptions!$A$2:$A$9,Assumptions!$C$2:$C$9),0)</f>
        <v>0</v>
      </c>
      <c r="I38" s="51">
        <f>IF(F38="New",LOOKUP(E38,Assumptions!$A$2:$A$9,Assumptions!$B$2:$B$9),I38)</f>
        <v>0</v>
      </c>
      <c r="J38" s="80">
        <v>0</v>
      </c>
      <c r="K38" s="86"/>
      <c r="L38" s="4">
        <f>IF(F38="New",0,(G38*((1+Assumptions!$B$19)^($M38-Assumptions!$B$18))*(1+Assumptions!$B$20)*(1+(Assumptions!$B$21+Assumptions!$B$22))*(1+Assumptions!$B$23))-(J38*((1+Assumptions!$B$19)^($M38-Assumptions!$B$18))*(1+Assumptions!$B$20)*(1+(Assumptions!$B$21+Assumptions!$B$22))*(1+Assumptions!$B$23)))</f>
        <v>446634</v>
      </c>
      <c r="M38" s="3">
        <v>2005</v>
      </c>
      <c r="N38" s="4">
        <v>0</v>
      </c>
      <c r="O38" s="4">
        <v>0</v>
      </c>
      <c r="P38" s="4">
        <v>0</v>
      </c>
      <c r="Q38" s="4"/>
      <c r="R38" s="4">
        <f>(((IF($M38=VALUE(RIGHT(R$2,4)),$J38,0)*((1+Assumptions!$B$19)^($M38-Assumptions!$B$18)))*(1+Assumptions!$B$20))*(1+(Assumptions!$B$21+Assumptions!$B$22)))*(1+Assumptions!$B$23)</f>
        <v>0</v>
      </c>
      <c r="S38" s="4">
        <f>(((IF($M38=VALUE(RIGHT(S$2,4)),$J38,0)*((1+Assumptions!$B$19)^($M38-Assumptions!$B$18)))*(1+Assumptions!$B$20))*(1+(Assumptions!$B$21+Assumptions!$B$22)))*(1+Assumptions!$B$23)</f>
        <v>0</v>
      </c>
      <c r="T38" s="4">
        <f>(((IF($M38=VALUE(RIGHT(T$2,4)),$J38,0)*((1+Assumptions!$B$19)^($M38-Assumptions!$B$18)))*(1+Assumptions!$B$20))*(1+(Assumptions!$B$21+Assumptions!$B$22)))*(1+Assumptions!$B$23)</f>
        <v>0</v>
      </c>
      <c r="U38" s="4">
        <f>(((IF($M38=VALUE(RIGHT(U$2,4)),$J38,0)*((1+Assumptions!$B$19)^($M38-Assumptions!$B$18)))*(1+Assumptions!$B$20))*(1+(Assumptions!$B$21+Assumptions!$B$22)))*(1+Assumptions!$B$23)</f>
        <v>0</v>
      </c>
      <c r="V38" s="4">
        <f>(((IF($M38=VALUE(RIGHT(V$2,4)),$J38,0)*((1+Assumptions!$B$19)^($M38-Assumptions!$B$18)))*(1+Assumptions!$B$20))*(1+(Assumptions!$B$21+Assumptions!$B$22)))*(1+Assumptions!$B$23)</f>
        <v>0</v>
      </c>
      <c r="W38" s="4">
        <f>(((IF($M38=VALUE(RIGHT(W$2,4)),$J38,0)*((1+Assumptions!$B$19)^($M38-Assumptions!$B$18)))*(1+Assumptions!$B$20))*(1+(Assumptions!$B$21+Assumptions!$B$22)))*(1+Assumptions!$B$23)</f>
        <v>0</v>
      </c>
      <c r="X38" s="4">
        <f>(((IF($M38=VALUE(RIGHT(X$2,4)),$J38,0)*((1+Assumptions!$B$19)^($M38-Assumptions!$B$18)))*(1+Assumptions!$B$20))*(1+(Assumptions!$B$21+Assumptions!$B$22)))*(1+Assumptions!$B$23)</f>
        <v>0</v>
      </c>
      <c r="Y38" s="4">
        <f>(((IF($M38=VALUE(RIGHT(Y$2,4)),$J38,0)*((1+Assumptions!$B$19)^($M38-Assumptions!$B$18)))*(1+Assumptions!$B$20))*(1+(Assumptions!$B$21+Assumptions!$B$22)))*(1+Assumptions!$B$23)</f>
        <v>0</v>
      </c>
      <c r="Z38" s="4">
        <f>(((IF($M38=VALUE(RIGHT(Z$2,4)),$J38,0)*((1+Assumptions!$B$19)^($M38-Assumptions!$B$18)))*(1+Assumptions!$B$20))*(1+(Assumptions!$B$21+Assumptions!$B$22)))*(1+Assumptions!$B$23)</f>
        <v>0</v>
      </c>
      <c r="AA38" s="4">
        <f>(((IF($M38=VALUE(RIGHT(AA$2,4)),$J38,0)*((1+Assumptions!$B$19)^($M38-Assumptions!$B$18)))*(1+Assumptions!$B$20))*(1+(Assumptions!$B$21+Assumptions!$B$22)))*(1+Assumptions!$B$23)</f>
        <v>0</v>
      </c>
      <c r="AB38" s="4">
        <f>(((IF($M38=VALUE(RIGHT(AB$2,4)),$J38,0)*((1+Assumptions!$B$19)^($M38-Assumptions!$B$18)))*(1+Assumptions!$B$20))*(1+(Assumptions!$B$21+Assumptions!$B$22)))*(1+Assumptions!$B$23)</f>
        <v>0</v>
      </c>
    </row>
    <row r="39" spans="1:28" ht="12.75">
      <c r="A39">
        <v>15</v>
      </c>
      <c r="B39" s="52" t="s">
        <v>43</v>
      </c>
      <c r="C39" s="52" t="s">
        <v>173</v>
      </c>
      <c r="D39" s="3" t="s">
        <v>144</v>
      </c>
      <c r="E39" s="3" t="s">
        <v>138</v>
      </c>
      <c r="F39" t="s">
        <v>60</v>
      </c>
      <c r="G39" s="4">
        <f>LOOKUP(B39,'Heery Data'!$B$3:$B$52,'Heery Data'!$C$3:$C$52)</f>
        <v>1765733</v>
      </c>
      <c r="H39" s="4">
        <f>IF(F39="New",LOOKUP(D39,Assumptions!$A$12:$A$15,Assumptions!$B$12:$B$15)*LOOKUP(E39,Assumptions!$A$2:$A$9,Assumptions!$C$2:$C$9),0)</f>
        <v>0</v>
      </c>
      <c r="I39" s="51">
        <f>IF(F39="New",LOOKUP(E39,Assumptions!$A$2:$A$9,Assumptions!$B$2:$B$9),I39)</f>
        <v>0</v>
      </c>
      <c r="J39" s="80">
        <v>0</v>
      </c>
      <c r="K39" s="86"/>
      <c r="L39" s="4">
        <f>IF(F39="New",0,(G39*((1+Assumptions!$B$19)^($M39-Assumptions!$B$18))*(1+Assumptions!$B$20)*(1+(Assumptions!$B$21+Assumptions!$B$22))*(1+Assumptions!$B$23))-(J39*((1+Assumptions!$B$19)^($M39-Assumptions!$B$18))*(1+Assumptions!$B$20)*(1+(Assumptions!$B$21+Assumptions!$B$22))*(1+Assumptions!$B$23)))</f>
        <v>1765733</v>
      </c>
      <c r="M39" s="3">
        <v>2005</v>
      </c>
      <c r="N39" s="4">
        <f>71965+18894</f>
        <v>90859</v>
      </c>
      <c r="O39" s="4">
        <f>1705+12265+23370</f>
        <v>37340</v>
      </c>
      <c r="P39" s="4">
        <f>148418+72861</f>
        <v>221279</v>
      </c>
      <c r="Q39" s="4">
        <v>161946</v>
      </c>
      <c r="R39" s="4">
        <f>(((IF($M39=VALUE(RIGHT(R$2,4)),$J39,0)*((1+Assumptions!$B$19)^($M39-Assumptions!$B$18)))*(1+Assumptions!$B$20))*(1+(Assumptions!$B$21+Assumptions!$B$22)))*(1+Assumptions!$B$23)</f>
        <v>0</v>
      </c>
      <c r="S39" s="4">
        <f>(((IF($M39=VALUE(RIGHT(S$2,4)),$J39,0)*((1+Assumptions!$B$19)^($M39-Assumptions!$B$18)))*(1+Assumptions!$B$20))*(1+(Assumptions!$B$21+Assumptions!$B$22)))*(1+Assumptions!$B$23)</f>
        <v>0</v>
      </c>
      <c r="T39" s="4">
        <f>(((IF($M39=VALUE(RIGHT(T$2,4)),$J39,0)*((1+Assumptions!$B$19)^($M39-Assumptions!$B$18)))*(1+Assumptions!$B$20))*(1+(Assumptions!$B$21+Assumptions!$B$22)))*(1+Assumptions!$B$23)</f>
        <v>0</v>
      </c>
      <c r="U39" s="4">
        <f>(((IF($M39=VALUE(RIGHT(U$2,4)),$J39,0)*((1+Assumptions!$B$19)^($M39-Assumptions!$B$18)))*(1+Assumptions!$B$20))*(1+(Assumptions!$B$21+Assumptions!$B$22)))*(1+Assumptions!$B$23)</f>
        <v>0</v>
      </c>
      <c r="V39" s="4">
        <f>(((IF($M39=VALUE(RIGHT(V$2,4)),$J39,0)*((1+Assumptions!$B$19)^($M39-Assumptions!$B$18)))*(1+Assumptions!$B$20))*(1+(Assumptions!$B$21+Assumptions!$B$22)))*(1+Assumptions!$B$23)</f>
        <v>0</v>
      </c>
      <c r="W39" s="4">
        <f>(((IF($M39=VALUE(RIGHT(W$2,4)),$J39,0)*((1+Assumptions!$B$19)^($M39-Assumptions!$B$18)))*(1+Assumptions!$B$20))*(1+(Assumptions!$B$21+Assumptions!$B$22)))*(1+Assumptions!$B$23)</f>
        <v>0</v>
      </c>
      <c r="X39" s="4">
        <f>(((IF($M39=VALUE(RIGHT(X$2,4)),$J39,0)*((1+Assumptions!$B$19)^($M39-Assumptions!$B$18)))*(1+Assumptions!$B$20))*(1+(Assumptions!$B$21+Assumptions!$B$22)))*(1+Assumptions!$B$23)</f>
        <v>0</v>
      </c>
      <c r="Y39" s="4">
        <f>(((IF($M39=VALUE(RIGHT(Y$2,4)),$J39,0)*((1+Assumptions!$B$19)^($M39-Assumptions!$B$18)))*(1+Assumptions!$B$20))*(1+(Assumptions!$B$21+Assumptions!$B$22)))*(1+Assumptions!$B$23)</f>
        <v>0</v>
      </c>
      <c r="Z39" s="4">
        <f>(((IF($M39=VALUE(RIGHT(Z$2,4)),$J39,0)*((1+Assumptions!$B$19)^($M39-Assumptions!$B$18)))*(1+Assumptions!$B$20))*(1+(Assumptions!$B$21+Assumptions!$B$22)))*(1+Assumptions!$B$23)</f>
        <v>0</v>
      </c>
      <c r="AA39" s="4">
        <f>(((IF($M39=VALUE(RIGHT(AA$2,4)),$J39,0)*((1+Assumptions!$B$19)^($M39-Assumptions!$B$18)))*(1+Assumptions!$B$20))*(1+(Assumptions!$B$21+Assumptions!$B$22)))*(1+Assumptions!$B$23)</f>
        <v>0</v>
      </c>
      <c r="AB39" s="4">
        <f>(((IF($M39=VALUE(RIGHT(AB$2,4)),$J39,0)*((1+Assumptions!$B$19)^($M39-Assumptions!$B$18)))*(1+Assumptions!$B$20))*(1+(Assumptions!$B$21+Assumptions!$B$22)))*(1+Assumptions!$B$23)</f>
        <v>0</v>
      </c>
    </row>
    <row r="40" spans="1:28" ht="12.75">
      <c r="A40">
        <v>26</v>
      </c>
      <c r="B40" s="52" t="s">
        <v>44</v>
      </c>
      <c r="C40" s="52" t="s">
        <v>173</v>
      </c>
      <c r="D40" s="3" t="s">
        <v>144</v>
      </c>
      <c r="E40" s="3" t="s">
        <v>138</v>
      </c>
      <c r="F40" t="s">
        <v>56</v>
      </c>
      <c r="G40" s="4">
        <f>LOOKUP(B40,'Heery Data'!$B$3:$B$52,'Heery Data'!$C$3:$C$52)</f>
        <v>0</v>
      </c>
      <c r="H40" s="4">
        <f>IF(F40="New",LOOKUP(D40,Assumptions!$A$12:$A$15,Assumptions!$B$12:$B$15)*LOOKUP(E40,Assumptions!$A$2:$A$9,Assumptions!$C$2:$C$9),0)</f>
        <v>0</v>
      </c>
      <c r="I40" s="51">
        <f>IF(F40="New",LOOKUP(E40,Assumptions!$A$2:$A$9,Assumptions!$B$2:$B$9),I40)</f>
        <v>0</v>
      </c>
      <c r="J40" s="80">
        <v>0</v>
      </c>
      <c r="K40" s="86"/>
      <c r="L40" s="4">
        <f>IF(F40="New",0,(G40*((1+Assumptions!$B$19)^($M40-Assumptions!$B$18))*(1+Assumptions!$B$20)*(1+(Assumptions!$B$21+Assumptions!$B$22))*(1+Assumptions!$B$23))-(J40*((1+Assumptions!$B$19)^($M40-Assumptions!$B$18))*(1+Assumptions!$B$20)*(1+(Assumptions!$B$21+Assumptions!$B$22))*(1+Assumptions!$B$23)))</f>
        <v>0</v>
      </c>
      <c r="M40" s="3">
        <v>2004</v>
      </c>
      <c r="N40" s="4">
        <f>(((IF($M40=VALUE(RIGHT(N$2,4)),$J40,0)*((1+Assumptions!$B$19)^($M40-Assumptions!$B$18)))*(1+Assumptions!$B$20))*(1+(Assumptions!$B$21+Assumptions!$B$22)))*(1+Assumptions!$B$23)</f>
        <v>0</v>
      </c>
      <c r="O40" s="4">
        <f>(((IF($M40=VALUE(RIGHT(O$2,4)),$J40,0)*((1+Assumptions!$B$19)^($M40-Assumptions!$B$18)))*(1+Assumptions!$B$20))*(1+(Assumptions!$B$21+Assumptions!$B$22)))*(1+Assumptions!$B$23)</f>
        <v>0</v>
      </c>
      <c r="P40" s="4">
        <f>(((IF($M40=VALUE(RIGHT(P$2,4)),$J40,0)*((1+Assumptions!$B$19)^($M40-Assumptions!$B$18)))*(1+Assumptions!$B$20))*(1+(Assumptions!$B$21+Assumptions!$B$22)))*(1+Assumptions!$B$23)</f>
        <v>0</v>
      </c>
      <c r="Q40" s="4">
        <f>(((IF($M40=VALUE(RIGHT(Q$2,4)),$J40,0)*((1+Assumptions!$B$19)^($M40-Assumptions!$B$18)))*(1+Assumptions!$B$20))*(1+(Assumptions!$B$21+Assumptions!$B$22)))*(1+Assumptions!$B$23)</f>
        <v>0</v>
      </c>
      <c r="R40" s="4">
        <f>(((IF($M40=VALUE(RIGHT(R$2,4)),$J40,0)*((1+Assumptions!$B$19)^($M40-Assumptions!$B$18)))*(1+Assumptions!$B$20))*(1+(Assumptions!$B$21+Assumptions!$B$22)))*(1+Assumptions!$B$23)</f>
        <v>0</v>
      </c>
      <c r="S40" s="4">
        <f>(((IF($M40=VALUE(RIGHT(S$2,4)),$J40,0)*((1+Assumptions!$B$19)^($M40-Assumptions!$B$18)))*(1+Assumptions!$B$20))*(1+(Assumptions!$B$21+Assumptions!$B$22)))*(1+Assumptions!$B$23)</f>
        <v>0</v>
      </c>
      <c r="T40" s="4">
        <f>(((IF($M40=VALUE(RIGHT(T$2,4)),$J40,0)*((1+Assumptions!$B$19)^($M40-Assumptions!$B$18)))*(1+Assumptions!$B$20))*(1+(Assumptions!$B$21+Assumptions!$B$22)))*(1+Assumptions!$B$23)</f>
        <v>0</v>
      </c>
      <c r="U40" s="4">
        <f>(((IF($M40=VALUE(RIGHT(U$2,4)),$J40,0)*((1+Assumptions!$B$19)^($M40-Assumptions!$B$18)))*(1+Assumptions!$B$20))*(1+(Assumptions!$B$21+Assumptions!$B$22)))*(1+Assumptions!$B$23)</f>
        <v>0</v>
      </c>
      <c r="V40" s="4">
        <f>(((IF($M40=VALUE(RIGHT(V$2,4)),$J40,0)*((1+Assumptions!$B$19)^($M40-Assumptions!$B$18)))*(1+Assumptions!$B$20))*(1+(Assumptions!$B$21+Assumptions!$B$22)))*(1+Assumptions!$B$23)</f>
        <v>0</v>
      </c>
      <c r="W40" s="4">
        <f>(((IF($M40=VALUE(RIGHT(W$2,4)),$J40,0)*((1+Assumptions!$B$19)^($M40-Assumptions!$B$18)))*(1+Assumptions!$B$20))*(1+(Assumptions!$B$21+Assumptions!$B$22)))*(1+Assumptions!$B$23)</f>
        <v>0</v>
      </c>
      <c r="X40" s="4">
        <f>(((IF($M40=VALUE(RIGHT(X$2,4)),$J40,0)*((1+Assumptions!$B$19)^($M40-Assumptions!$B$18)))*(1+Assumptions!$B$20))*(1+(Assumptions!$B$21+Assumptions!$B$22)))*(1+Assumptions!$B$23)</f>
        <v>0</v>
      </c>
      <c r="Y40" s="4">
        <f>(((IF($M40=VALUE(RIGHT(Y$2,4)),$J40,0)*((1+Assumptions!$B$19)^($M40-Assumptions!$B$18)))*(1+Assumptions!$B$20))*(1+(Assumptions!$B$21+Assumptions!$B$22)))*(1+Assumptions!$B$23)</f>
        <v>0</v>
      </c>
      <c r="Z40" s="4">
        <f>(((IF($M40=VALUE(RIGHT(Z$2,4)),$J40,0)*((1+Assumptions!$B$19)^($M40-Assumptions!$B$18)))*(1+Assumptions!$B$20))*(1+(Assumptions!$B$21+Assumptions!$B$22)))*(1+Assumptions!$B$23)</f>
        <v>0</v>
      </c>
      <c r="AA40" s="4">
        <f>(((IF($M40=VALUE(RIGHT(AA$2,4)),$J40,0)*((1+Assumptions!$B$19)^($M40-Assumptions!$B$18)))*(1+Assumptions!$B$20))*(1+(Assumptions!$B$21+Assumptions!$B$22)))*(1+Assumptions!$B$23)</f>
        <v>0</v>
      </c>
      <c r="AB40" s="4">
        <f>(((IF($M40=VALUE(RIGHT(AB$2,4)),$J40,0)*((1+Assumptions!$B$19)^($M40-Assumptions!$B$18)))*(1+Assumptions!$B$20))*(1+(Assumptions!$B$21+Assumptions!$B$22)))*(1+Assumptions!$B$23)</f>
        <v>0</v>
      </c>
    </row>
    <row r="41" spans="1:28" s="25" customFormat="1" ht="12.75">
      <c r="A41" s="13">
        <v>26</v>
      </c>
      <c r="B41" s="57" t="s">
        <v>159</v>
      </c>
      <c r="C41" s="57" t="s">
        <v>173</v>
      </c>
      <c r="D41" s="58" t="s">
        <v>144</v>
      </c>
      <c r="E41" s="58" t="s">
        <v>140</v>
      </c>
      <c r="F41" s="13" t="s">
        <v>59</v>
      </c>
      <c r="G41" s="59">
        <f>LOOKUP(B41,'Heery Data'!$B$3:$B$52,'Heery Data'!$C$3:$C$52)</f>
        <v>0</v>
      </c>
      <c r="H41" s="59">
        <v>0</v>
      </c>
      <c r="I41" s="60">
        <v>0</v>
      </c>
      <c r="J41" s="61">
        <v>0</v>
      </c>
      <c r="K41" s="85"/>
      <c r="L41" s="59">
        <f>IF(F41="New",0,(G41*((1+Assumptions!$B$19)^($M41-Assumptions!$B$18))*(1+Assumptions!$B$20)*(1+(Assumptions!$B$21+Assumptions!$B$22))*(1+Assumptions!$B$23))-(J41*((1+Assumptions!$B$19)^($M41-Assumptions!$B$18))*(1+Assumptions!$B$20)*(1+(Assumptions!$B$21+Assumptions!$B$22))*(1+Assumptions!$B$23)))</f>
        <v>0</v>
      </c>
      <c r="M41" s="58">
        <v>2004</v>
      </c>
      <c r="N41" s="59">
        <f>(((IF($M41=VALUE(RIGHT(N$2,4)),$J41,0)*((1+Assumptions!$B$19)^($M41-Assumptions!$B$18)))*(1+Assumptions!$B$20))*(1+(Assumptions!$B$21+Assumptions!$B$22)))*(1+Assumptions!$B$23)</f>
        <v>0</v>
      </c>
      <c r="O41" s="59">
        <f>(((IF($M41=VALUE(RIGHT(O$2,4)),$J41,0)*((1+Assumptions!$B$19)^($M41-Assumptions!$B$18)))*(1+Assumptions!$B$20))*(1+(Assumptions!$B$21+Assumptions!$B$22)))*(1+Assumptions!$B$23)</f>
        <v>0</v>
      </c>
      <c r="P41" s="59">
        <f>(((IF($M41=VALUE(RIGHT(P$2,4)),$J41,0)*((1+Assumptions!$B$19)^($M41-Assumptions!$B$18)))*(1+Assumptions!$B$20))*(1+(Assumptions!$B$21+Assumptions!$B$22)))*(1+Assumptions!$B$23)</f>
        <v>0</v>
      </c>
      <c r="Q41" s="59">
        <f>(((IF($M41=VALUE(RIGHT(Q$2,4)),$J41,0)*((1+Assumptions!$B$19)^($M41-Assumptions!$B$18)))*(1+Assumptions!$B$20))*(1+(Assumptions!$B$21+Assumptions!$B$22)))*(1+Assumptions!$B$23)</f>
        <v>0</v>
      </c>
      <c r="R41" s="59">
        <f>(((IF($M41=VALUE(RIGHT(R$2,4)),$J41,0)*((1+Assumptions!$B$19)^($M41-Assumptions!$B$18)))*(1+Assumptions!$B$20))*(1+(Assumptions!$B$21+Assumptions!$B$22)))*(1+Assumptions!$B$23)</f>
        <v>0</v>
      </c>
      <c r="S41" s="59">
        <f>(((IF($M41=VALUE(RIGHT(S$2,4)),$J41,0)*((1+Assumptions!$B$19)^($M41-Assumptions!$B$18)))*(1+Assumptions!$B$20))*(1+(Assumptions!$B$21+Assumptions!$B$22)))*(1+Assumptions!$B$23)</f>
        <v>0</v>
      </c>
      <c r="T41" s="59">
        <f>(((IF($M41=VALUE(RIGHT(T$2,4)),$J41,0)*((1+Assumptions!$B$19)^($M41-Assumptions!$B$18)))*(1+Assumptions!$B$20))*(1+(Assumptions!$B$21+Assumptions!$B$22)))*(1+Assumptions!$B$23)</f>
        <v>0</v>
      </c>
      <c r="U41" s="59">
        <f>(((IF($M41=VALUE(RIGHT(U$2,4)),$J41,0)*((1+Assumptions!$B$19)^($M41-Assumptions!$B$18)))*(1+Assumptions!$B$20))*(1+(Assumptions!$B$21+Assumptions!$B$22)))*(1+Assumptions!$B$23)</f>
        <v>0</v>
      </c>
      <c r="V41" s="59">
        <f>(((IF($M41=VALUE(RIGHT(V$2,4)),$J41,0)*((1+Assumptions!$B$19)^($M41-Assumptions!$B$18)))*(1+Assumptions!$B$20))*(1+(Assumptions!$B$21+Assumptions!$B$22)))*(1+Assumptions!$B$23)</f>
        <v>0</v>
      </c>
      <c r="W41" s="59">
        <f>(((IF($M41=VALUE(RIGHT(W$2,4)),$J41,0)*((1+Assumptions!$B$19)^($M41-Assumptions!$B$18)))*(1+Assumptions!$B$20))*(1+(Assumptions!$B$21+Assumptions!$B$22)))*(1+Assumptions!$B$23)</f>
        <v>0</v>
      </c>
      <c r="X41" s="59">
        <f>(((IF($M41=VALUE(RIGHT(X$2,4)),$J41,0)*((1+Assumptions!$B$19)^($M41-Assumptions!$B$18)))*(1+Assumptions!$B$20))*(1+(Assumptions!$B$21+Assumptions!$B$22)))*(1+Assumptions!$B$23)</f>
        <v>0</v>
      </c>
      <c r="Y41" s="59">
        <f>(((IF($M41=VALUE(RIGHT(Y$2,4)),$J41,0)*((1+Assumptions!$B$19)^($M41-Assumptions!$B$18)))*(1+Assumptions!$B$20))*(1+(Assumptions!$B$21+Assumptions!$B$22)))*(1+Assumptions!$B$23)</f>
        <v>0</v>
      </c>
      <c r="Z41" s="59">
        <f>(((IF($M41=VALUE(RIGHT(Z$2,4)),$J41,0)*((1+Assumptions!$B$19)^($M41-Assumptions!$B$18)))*(1+Assumptions!$B$20))*(1+(Assumptions!$B$21+Assumptions!$B$22)))*(1+Assumptions!$B$23)</f>
        <v>0</v>
      </c>
      <c r="AA41" s="59">
        <f>(((IF($M41=VALUE(RIGHT(AA$2,4)),$J41,0)*((1+Assumptions!$B$19)^($M41-Assumptions!$B$18)))*(1+Assumptions!$B$20))*(1+(Assumptions!$B$21+Assumptions!$B$22)))*(1+Assumptions!$B$23)</f>
        <v>0</v>
      </c>
      <c r="AB41" s="59">
        <f>(((IF($M41=VALUE(RIGHT(AB$2,4)),$J41,0)*((1+Assumptions!$B$19)^($M41-Assumptions!$B$18)))*(1+Assumptions!$B$20))*(1+(Assumptions!$B$21+Assumptions!$B$22)))*(1+Assumptions!$B$23)</f>
        <v>0</v>
      </c>
    </row>
    <row r="42" spans="1:28" ht="12.75">
      <c r="A42" s="25">
        <v>39</v>
      </c>
      <c r="B42" s="52" t="s">
        <v>45</v>
      </c>
      <c r="C42" s="52" t="s">
        <v>173</v>
      </c>
      <c r="D42" s="3" t="s">
        <v>144</v>
      </c>
      <c r="E42" s="3" t="s">
        <v>139</v>
      </c>
      <c r="F42" t="s">
        <v>60</v>
      </c>
      <c r="G42" s="4">
        <f>LOOKUP(B42,'Heery Data'!$B$3:$B$52,'Heery Data'!$C$3:$C$52)</f>
        <v>1087982</v>
      </c>
      <c r="H42" s="4">
        <f>IF(F42="New",LOOKUP(D42,Assumptions!$A$12:$A$15,Assumptions!$B$12:$B$15)*LOOKUP(E42,Assumptions!$A$2:$A$9,Assumptions!$C$2:$C$9),0)</f>
        <v>0</v>
      </c>
      <c r="I42" s="51">
        <f>IF(F42="New",LOOKUP(E42,Assumptions!$A$2:$A$9,Assumptions!$B$2:$B$9),I42)</f>
        <v>0</v>
      </c>
      <c r="J42" s="80">
        <v>0</v>
      </c>
      <c r="K42" s="86"/>
      <c r="L42" s="4">
        <f>IF(F42="New",0,(G42*((1+Assumptions!$B$19)^($M42-Assumptions!$B$18))*(1+Assumptions!$B$20)*(1+(Assumptions!$B$21+Assumptions!$B$22))*(1+Assumptions!$B$23))-(J42*((1+Assumptions!$B$19)^($M42-Assumptions!$B$18))*(1+Assumptions!$B$20)*(1+(Assumptions!$B$21+Assumptions!$B$22))*(1+Assumptions!$B$23)))</f>
        <v>1087982</v>
      </c>
      <c r="M42" s="3">
        <v>2005</v>
      </c>
      <c r="N42" s="4">
        <v>41821</v>
      </c>
      <c r="O42" s="4">
        <v>57108</v>
      </c>
      <c r="P42" s="4">
        <v>5995</v>
      </c>
      <c r="Q42" s="4">
        <v>85235</v>
      </c>
      <c r="R42" s="4">
        <f>(((IF($M42=VALUE(RIGHT(R$2,4)),$J42,0)*((1+Assumptions!$B$19)^($M42-Assumptions!$B$18)))*(1+Assumptions!$B$20))*(1+(Assumptions!$B$21+Assumptions!$B$22)))*(1+Assumptions!$B$23)</f>
        <v>0</v>
      </c>
      <c r="S42" s="4">
        <f>(((IF($M42=VALUE(RIGHT(S$2,4)),$J42,0)*((1+Assumptions!$B$19)^($M42-Assumptions!$B$18)))*(1+Assumptions!$B$20))*(1+(Assumptions!$B$21+Assumptions!$B$22)))*(1+Assumptions!$B$23)</f>
        <v>0</v>
      </c>
      <c r="T42" s="4">
        <f>(((IF($M42=VALUE(RIGHT(T$2,4)),$J42,0)*((1+Assumptions!$B$19)^($M42-Assumptions!$B$18)))*(1+Assumptions!$B$20))*(1+(Assumptions!$B$21+Assumptions!$B$22)))*(1+Assumptions!$B$23)</f>
        <v>0</v>
      </c>
      <c r="U42" s="4">
        <f>(((IF($M42=VALUE(RIGHT(U$2,4)),$J42,0)*((1+Assumptions!$B$19)^($M42-Assumptions!$B$18)))*(1+Assumptions!$B$20))*(1+(Assumptions!$B$21+Assumptions!$B$22)))*(1+Assumptions!$B$23)</f>
        <v>0</v>
      </c>
      <c r="V42" s="4">
        <f>(((IF($M42=VALUE(RIGHT(V$2,4)),$J42,0)*((1+Assumptions!$B$19)^($M42-Assumptions!$B$18)))*(1+Assumptions!$B$20))*(1+(Assumptions!$B$21+Assumptions!$B$22)))*(1+Assumptions!$B$23)</f>
        <v>0</v>
      </c>
      <c r="W42" s="4">
        <f>(((IF($M42=VALUE(RIGHT(W$2,4)),$J42,0)*((1+Assumptions!$B$19)^($M42-Assumptions!$B$18)))*(1+Assumptions!$B$20))*(1+(Assumptions!$B$21+Assumptions!$B$22)))*(1+Assumptions!$B$23)</f>
        <v>0</v>
      </c>
      <c r="X42" s="4">
        <f>(((IF($M42=VALUE(RIGHT(X$2,4)),$J42,0)*((1+Assumptions!$B$19)^($M42-Assumptions!$B$18)))*(1+Assumptions!$B$20))*(1+(Assumptions!$B$21+Assumptions!$B$22)))*(1+Assumptions!$B$23)</f>
        <v>0</v>
      </c>
      <c r="Y42" s="4">
        <f>(((IF($M42=VALUE(RIGHT(Y$2,4)),$J42,0)*((1+Assumptions!$B$19)^($M42-Assumptions!$B$18)))*(1+Assumptions!$B$20))*(1+(Assumptions!$B$21+Assumptions!$B$22)))*(1+Assumptions!$B$23)</f>
        <v>0</v>
      </c>
      <c r="Z42" s="4">
        <f>(((IF($M42=VALUE(RIGHT(Z$2,4)),$J42,0)*((1+Assumptions!$B$19)^($M42-Assumptions!$B$18)))*(1+Assumptions!$B$20))*(1+(Assumptions!$B$21+Assumptions!$B$22)))*(1+Assumptions!$B$23)</f>
        <v>0</v>
      </c>
      <c r="AA42" s="4">
        <f>(((IF($M42=VALUE(RIGHT(AA$2,4)),$J42,0)*((1+Assumptions!$B$19)^($M42-Assumptions!$B$18)))*(1+Assumptions!$B$20))*(1+(Assumptions!$B$21+Assumptions!$B$22)))*(1+Assumptions!$B$23)</f>
        <v>0</v>
      </c>
      <c r="AB42" s="4">
        <f>(((IF($M42=VALUE(RIGHT(AB$2,4)),$J42,0)*((1+Assumptions!$B$19)^($M42-Assumptions!$B$18)))*(1+Assumptions!$B$20))*(1+(Assumptions!$B$21+Assumptions!$B$22)))*(1+Assumptions!$B$23)</f>
        <v>0</v>
      </c>
    </row>
    <row r="43" spans="1:28" ht="12.75">
      <c r="A43" s="25">
        <v>27</v>
      </c>
      <c r="B43" s="52" t="s">
        <v>46</v>
      </c>
      <c r="C43" s="52" t="s">
        <v>173</v>
      </c>
      <c r="D43" s="3" t="s">
        <v>142</v>
      </c>
      <c r="E43" s="3" t="s">
        <v>138</v>
      </c>
      <c r="F43" t="s">
        <v>60</v>
      </c>
      <c r="G43" s="4">
        <f>LOOKUP(B43,'Heery Data'!$B$3:$B$52,'Heery Data'!$C$3:$C$52)</f>
        <v>502286</v>
      </c>
      <c r="H43" s="4">
        <f>IF(F43="New",LOOKUP(D43,Assumptions!$A$12:$A$15,Assumptions!$B$12:$B$15)*LOOKUP(E43,Assumptions!$A$2:$A$9,Assumptions!$C$2:$C$9),0)</f>
        <v>0</v>
      </c>
      <c r="I43" s="51">
        <f>IF(F43="New",LOOKUP(E43,Assumptions!$A$2:$A$9,Assumptions!$B$2:$B$9),I43)</f>
        <v>0</v>
      </c>
      <c r="J43" s="80">
        <v>0</v>
      </c>
      <c r="K43" s="86"/>
      <c r="L43" s="4">
        <f>IF(F43="New",0,(G43*((1+Assumptions!$B$19)^($M43-Assumptions!$B$18))*(1+Assumptions!$B$20)*(1+(Assumptions!$B$21+Assumptions!$B$22))*(1+Assumptions!$B$23))-(J43*((1+Assumptions!$B$19)^($M43-Assumptions!$B$18))*(1+Assumptions!$B$20)*(1+(Assumptions!$B$21+Assumptions!$B$22))*(1+Assumptions!$B$23)))</f>
        <v>502286</v>
      </c>
      <c r="M43" s="3">
        <v>2004</v>
      </c>
      <c r="N43" s="4">
        <v>73751</v>
      </c>
      <c r="O43" s="4">
        <f>87568+9944</f>
        <v>97512</v>
      </c>
      <c r="P43" s="4">
        <v>2247</v>
      </c>
      <c r="Q43" s="4">
        <v>76711</v>
      </c>
      <c r="R43" s="4">
        <f>(((IF($M43=VALUE(RIGHT(R$2,4)),$J43,0)*((1+Assumptions!$B$19)^($M43-Assumptions!$B$18)))*(1+Assumptions!$B$20))*(1+(Assumptions!$B$21+Assumptions!$B$22)))*(1+Assumptions!$B$23)</f>
        <v>0</v>
      </c>
      <c r="S43" s="4">
        <f>(((IF($M43=VALUE(RIGHT(S$2,4)),$J43,0)*((1+Assumptions!$B$19)^($M43-Assumptions!$B$18)))*(1+Assumptions!$B$20))*(1+(Assumptions!$B$21+Assumptions!$B$22)))*(1+Assumptions!$B$23)</f>
        <v>0</v>
      </c>
      <c r="T43" s="4">
        <f>(((IF($M43=VALUE(RIGHT(T$2,4)),$J43,0)*((1+Assumptions!$B$19)^($M43-Assumptions!$B$18)))*(1+Assumptions!$B$20))*(1+(Assumptions!$B$21+Assumptions!$B$22)))*(1+Assumptions!$B$23)</f>
        <v>0</v>
      </c>
      <c r="U43" s="4">
        <f>(((IF($M43=VALUE(RIGHT(U$2,4)),$J43,0)*((1+Assumptions!$B$19)^($M43-Assumptions!$B$18)))*(1+Assumptions!$B$20))*(1+(Assumptions!$B$21+Assumptions!$B$22)))*(1+Assumptions!$B$23)</f>
        <v>0</v>
      </c>
      <c r="V43" s="4">
        <f>(((IF($M43=VALUE(RIGHT(V$2,4)),$J43,0)*((1+Assumptions!$B$19)^($M43-Assumptions!$B$18)))*(1+Assumptions!$B$20))*(1+(Assumptions!$B$21+Assumptions!$B$22)))*(1+Assumptions!$B$23)</f>
        <v>0</v>
      </c>
      <c r="W43" s="4">
        <f>(((IF($M43=VALUE(RIGHT(W$2,4)),$J43,0)*((1+Assumptions!$B$19)^($M43-Assumptions!$B$18)))*(1+Assumptions!$B$20))*(1+(Assumptions!$B$21+Assumptions!$B$22)))*(1+Assumptions!$B$23)</f>
        <v>0</v>
      </c>
      <c r="X43" s="4">
        <f>(((IF($M43=VALUE(RIGHT(X$2,4)),$J43,0)*((1+Assumptions!$B$19)^($M43-Assumptions!$B$18)))*(1+Assumptions!$B$20))*(1+(Assumptions!$B$21+Assumptions!$B$22)))*(1+Assumptions!$B$23)</f>
        <v>0</v>
      </c>
      <c r="Y43" s="4">
        <f>(((IF($M43=VALUE(RIGHT(Y$2,4)),$J43,0)*((1+Assumptions!$B$19)^($M43-Assumptions!$B$18)))*(1+Assumptions!$B$20))*(1+(Assumptions!$B$21+Assumptions!$B$22)))*(1+Assumptions!$B$23)</f>
        <v>0</v>
      </c>
      <c r="Z43" s="4">
        <f>(((IF($M43=VALUE(RIGHT(Z$2,4)),$J43,0)*((1+Assumptions!$B$19)^($M43-Assumptions!$B$18)))*(1+Assumptions!$B$20))*(1+(Assumptions!$B$21+Assumptions!$B$22)))*(1+Assumptions!$B$23)</f>
        <v>0</v>
      </c>
      <c r="AA43" s="4">
        <f>(((IF($M43=VALUE(RIGHT(AA$2,4)),$J43,0)*((1+Assumptions!$B$19)^($M43-Assumptions!$B$18)))*(1+Assumptions!$B$20))*(1+(Assumptions!$B$21+Assumptions!$B$22)))*(1+Assumptions!$B$23)</f>
        <v>0</v>
      </c>
      <c r="AB43" s="4">
        <f>(((IF($M43=VALUE(RIGHT(AB$2,4)),$J43,0)*((1+Assumptions!$B$19)^($M43-Assumptions!$B$18)))*(1+Assumptions!$B$20))*(1+(Assumptions!$B$21+Assumptions!$B$22)))*(1+Assumptions!$B$23)</f>
        <v>0</v>
      </c>
    </row>
    <row r="44" spans="1:28" ht="12.75">
      <c r="A44" s="25">
        <v>6</v>
      </c>
      <c r="B44" s="52" t="s">
        <v>47</v>
      </c>
      <c r="C44" s="52" t="s">
        <v>173</v>
      </c>
      <c r="D44" s="3" t="s">
        <v>144</v>
      </c>
      <c r="E44" s="3" t="s">
        <v>138</v>
      </c>
      <c r="F44" t="s">
        <v>60</v>
      </c>
      <c r="G44" s="4">
        <f>LOOKUP(B44,'Heery Data'!$B$3:$B$52,'Heery Data'!$C$3:$C$52)</f>
        <v>1694482</v>
      </c>
      <c r="H44" s="4">
        <f>IF(F44="New",LOOKUP(D44,Assumptions!$A$12:$A$15,Assumptions!$B$12:$B$15)*LOOKUP(E44,Assumptions!$A$2:$A$9,Assumptions!$C$2:$C$9),0)</f>
        <v>0</v>
      </c>
      <c r="I44" s="51">
        <f>IF(F44="New",LOOKUP(E44,Assumptions!$A$2:$A$9,Assumptions!$B$2:$B$9),I44)</f>
        <v>0</v>
      </c>
      <c r="J44" s="80">
        <v>0</v>
      </c>
      <c r="K44" s="86"/>
      <c r="L44" s="4">
        <f>IF(F44="New",0,(G44*((1+Assumptions!$B$19)^($M44-Assumptions!$B$18))*(1+Assumptions!$B$20)*(1+(Assumptions!$B$21+Assumptions!$B$22))*(1+Assumptions!$B$23))-(J44*((1+Assumptions!$B$19)^($M44-Assumptions!$B$18))*(1+Assumptions!$B$20)*(1+(Assumptions!$B$21+Assumptions!$B$22))*(1+Assumptions!$B$23)))</f>
        <v>1694482</v>
      </c>
      <c r="M44" s="3">
        <v>2005</v>
      </c>
      <c r="N44" s="4">
        <v>29223</v>
      </c>
      <c r="O44" s="4">
        <v>42565</v>
      </c>
      <c r="P44" s="4">
        <f>424766+7271</f>
        <v>432037</v>
      </c>
      <c r="Q44" s="4">
        <v>234395</v>
      </c>
      <c r="R44" s="4">
        <f>(((IF($M44=VALUE(RIGHT(R$2,4)),$J44,0)*((1+Assumptions!$B$19)^($M44-Assumptions!$B$18)))*(1+Assumptions!$B$20))*(1+(Assumptions!$B$21+Assumptions!$B$22)))*(1+Assumptions!$B$23)</f>
        <v>0</v>
      </c>
      <c r="S44" s="4">
        <f>(((IF($M44=VALUE(RIGHT(S$2,4)),$J44,0)*((1+Assumptions!$B$19)^($M44-Assumptions!$B$18)))*(1+Assumptions!$B$20))*(1+(Assumptions!$B$21+Assumptions!$B$22)))*(1+Assumptions!$B$23)</f>
        <v>0</v>
      </c>
      <c r="T44" s="4">
        <f>(((IF($M44=VALUE(RIGHT(T$2,4)),$J44,0)*((1+Assumptions!$B$19)^($M44-Assumptions!$B$18)))*(1+Assumptions!$B$20))*(1+(Assumptions!$B$21+Assumptions!$B$22)))*(1+Assumptions!$B$23)</f>
        <v>0</v>
      </c>
      <c r="U44" s="4">
        <f>(((IF($M44=VALUE(RIGHT(U$2,4)),$J44,0)*((1+Assumptions!$B$19)^($M44-Assumptions!$B$18)))*(1+Assumptions!$B$20))*(1+(Assumptions!$B$21+Assumptions!$B$22)))*(1+Assumptions!$B$23)</f>
        <v>0</v>
      </c>
      <c r="V44" s="4">
        <f>(((IF($M44=VALUE(RIGHT(V$2,4)),$J44,0)*((1+Assumptions!$B$19)^($M44-Assumptions!$B$18)))*(1+Assumptions!$B$20))*(1+(Assumptions!$B$21+Assumptions!$B$22)))*(1+Assumptions!$B$23)</f>
        <v>0</v>
      </c>
      <c r="W44" s="4">
        <f>(((IF($M44=VALUE(RIGHT(W$2,4)),$J44,0)*((1+Assumptions!$B$19)^($M44-Assumptions!$B$18)))*(1+Assumptions!$B$20))*(1+(Assumptions!$B$21+Assumptions!$B$22)))*(1+Assumptions!$B$23)</f>
        <v>0</v>
      </c>
      <c r="X44" s="4">
        <f>(((IF($M44=VALUE(RIGHT(X$2,4)),$J44,0)*((1+Assumptions!$B$19)^($M44-Assumptions!$B$18)))*(1+Assumptions!$B$20))*(1+(Assumptions!$B$21+Assumptions!$B$22)))*(1+Assumptions!$B$23)</f>
        <v>0</v>
      </c>
      <c r="Y44" s="4">
        <f>(((IF($M44=VALUE(RIGHT(Y$2,4)),$J44,0)*((1+Assumptions!$B$19)^($M44-Assumptions!$B$18)))*(1+Assumptions!$B$20))*(1+(Assumptions!$B$21+Assumptions!$B$22)))*(1+Assumptions!$B$23)</f>
        <v>0</v>
      </c>
      <c r="Z44" s="4">
        <f>(((IF($M44=VALUE(RIGHT(Z$2,4)),$J44,0)*((1+Assumptions!$B$19)^($M44-Assumptions!$B$18)))*(1+Assumptions!$B$20))*(1+(Assumptions!$B$21+Assumptions!$B$22)))*(1+Assumptions!$B$23)</f>
        <v>0</v>
      </c>
      <c r="AA44" s="4">
        <f>(((IF($M44=VALUE(RIGHT(AA$2,4)),$J44,0)*((1+Assumptions!$B$19)^($M44-Assumptions!$B$18)))*(1+Assumptions!$B$20))*(1+(Assumptions!$B$21+Assumptions!$B$22)))*(1+Assumptions!$B$23)</f>
        <v>0</v>
      </c>
      <c r="AB44" s="4">
        <f>(((IF($M44=VALUE(RIGHT(AB$2,4)),$J44,0)*((1+Assumptions!$B$19)^($M44-Assumptions!$B$18)))*(1+Assumptions!$B$20))*(1+(Assumptions!$B$21+Assumptions!$B$22)))*(1+Assumptions!$B$23)</f>
        <v>0</v>
      </c>
    </row>
    <row r="45" spans="1:28" ht="12.75">
      <c r="A45" s="25">
        <v>43</v>
      </c>
      <c r="B45" s="52" t="s">
        <v>48</v>
      </c>
      <c r="C45" s="52" t="s">
        <v>173</v>
      </c>
      <c r="D45" s="3" t="s">
        <v>144</v>
      </c>
      <c r="E45" s="3" t="s">
        <v>139</v>
      </c>
      <c r="F45" t="s">
        <v>60</v>
      </c>
      <c r="G45" s="4">
        <f>LOOKUP(B45,'Heery Data'!$B$3:$B$52,'Heery Data'!$C$3:$C$52)</f>
        <v>237639</v>
      </c>
      <c r="H45" s="4">
        <f>IF(F45="New",LOOKUP(D45,Assumptions!$A$12:$A$15,Assumptions!$B$12:$B$15)*LOOKUP(E45,Assumptions!$A$2:$A$9,Assumptions!$C$2:$C$9),0)</f>
        <v>0</v>
      </c>
      <c r="I45" s="51">
        <f>IF(F45="New",LOOKUP(E45,Assumptions!$A$2:$A$9,Assumptions!$B$2:$B$9),I45)</f>
        <v>0</v>
      </c>
      <c r="J45" s="80">
        <v>0</v>
      </c>
      <c r="K45" s="86"/>
      <c r="L45" s="4">
        <f>IF(F45="New",0,(G45*((1+Assumptions!$B$19)^($M45-Assumptions!$B$18))*(1+Assumptions!$B$20)*(1+(Assumptions!$B$21+Assumptions!$B$22))*(1+Assumptions!$B$23))-(J45*((1+Assumptions!$B$19)^($M45-Assumptions!$B$18))*(1+Assumptions!$B$20)*(1+(Assumptions!$B$21+Assumptions!$B$22))*(1+Assumptions!$B$23)))</f>
        <v>237639</v>
      </c>
      <c r="M45" s="3">
        <v>2005</v>
      </c>
      <c r="N45" s="4">
        <f>2273+7813</f>
        <v>10086</v>
      </c>
      <c r="O45" s="4">
        <v>2983</v>
      </c>
      <c r="P45" s="4">
        <v>15626</v>
      </c>
      <c r="Q45" s="4">
        <v>85235</v>
      </c>
      <c r="R45" s="4">
        <f>(((IF($M45=VALUE(RIGHT(R$2,4)),$J45,0)*((1+Assumptions!$B$19)^($M45-Assumptions!$B$18)))*(1+Assumptions!$B$20))*(1+(Assumptions!$B$21+Assumptions!$B$22)))*(1+Assumptions!$B$23)</f>
        <v>0</v>
      </c>
      <c r="S45" s="4">
        <f>(((IF($M45=VALUE(RIGHT(S$2,4)),$J45,0)*((1+Assumptions!$B$19)^($M45-Assumptions!$B$18)))*(1+Assumptions!$B$20))*(1+(Assumptions!$B$21+Assumptions!$B$22)))*(1+Assumptions!$B$23)</f>
        <v>0</v>
      </c>
      <c r="T45" s="4">
        <f>(((IF($M45=VALUE(RIGHT(T$2,4)),$J45,0)*((1+Assumptions!$B$19)^($M45-Assumptions!$B$18)))*(1+Assumptions!$B$20))*(1+(Assumptions!$B$21+Assumptions!$B$22)))*(1+Assumptions!$B$23)</f>
        <v>0</v>
      </c>
      <c r="U45" s="4">
        <f>(((IF($M45=VALUE(RIGHT(U$2,4)),$J45,0)*((1+Assumptions!$B$19)^($M45-Assumptions!$B$18)))*(1+Assumptions!$B$20))*(1+(Assumptions!$B$21+Assumptions!$B$22)))*(1+Assumptions!$B$23)</f>
        <v>0</v>
      </c>
      <c r="V45" s="4">
        <f>(((IF($M45=VALUE(RIGHT(V$2,4)),$J45,0)*((1+Assumptions!$B$19)^($M45-Assumptions!$B$18)))*(1+Assumptions!$B$20))*(1+(Assumptions!$B$21+Assumptions!$B$22)))*(1+Assumptions!$B$23)</f>
        <v>0</v>
      </c>
      <c r="W45" s="4">
        <f>(((IF($M45=VALUE(RIGHT(W$2,4)),$J45,0)*((1+Assumptions!$B$19)^($M45-Assumptions!$B$18)))*(1+Assumptions!$B$20))*(1+(Assumptions!$B$21+Assumptions!$B$22)))*(1+Assumptions!$B$23)</f>
        <v>0</v>
      </c>
      <c r="X45" s="4">
        <f>(((IF($M45=VALUE(RIGHT(X$2,4)),$J45,0)*((1+Assumptions!$B$19)^($M45-Assumptions!$B$18)))*(1+Assumptions!$B$20))*(1+(Assumptions!$B$21+Assumptions!$B$22)))*(1+Assumptions!$B$23)</f>
        <v>0</v>
      </c>
      <c r="Y45" s="4">
        <f>(((IF($M45=VALUE(RIGHT(Y$2,4)),$J45,0)*((1+Assumptions!$B$19)^($M45-Assumptions!$B$18)))*(1+Assumptions!$B$20))*(1+(Assumptions!$B$21+Assumptions!$B$22)))*(1+Assumptions!$B$23)</f>
        <v>0</v>
      </c>
      <c r="Z45" s="4">
        <f>(((IF($M45=VALUE(RIGHT(Z$2,4)),$J45,0)*((1+Assumptions!$B$19)^($M45-Assumptions!$B$18)))*(1+Assumptions!$B$20))*(1+(Assumptions!$B$21+Assumptions!$B$22)))*(1+Assumptions!$B$23)</f>
        <v>0</v>
      </c>
      <c r="AA45" s="4">
        <f>(((IF($M45=VALUE(RIGHT(AA$2,4)),$J45,0)*((1+Assumptions!$B$19)^($M45-Assumptions!$B$18)))*(1+Assumptions!$B$20))*(1+(Assumptions!$B$21+Assumptions!$B$22)))*(1+Assumptions!$B$23)</f>
        <v>0</v>
      </c>
      <c r="AB45" s="4">
        <f>(((IF($M45=VALUE(RIGHT(AB$2,4)),$J45,0)*((1+Assumptions!$B$19)^($M45-Assumptions!$B$18)))*(1+Assumptions!$B$20))*(1+(Assumptions!$B$21+Assumptions!$B$22)))*(1+Assumptions!$B$23)</f>
        <v>0</v>
      </c>
    </row>
    <row r="46" spans="1:28" s="25" customFormat="1" ht="12.75">
      <c r="A46" s="13" t="s">
        <v>146</v>
      </c>
      <c r="B46" s="57" t="s">
        <v>157</v>
      </c>
      <c r="C46" s="57" t="s">
        <v>173</v>
      </c>
      <c r="D46" s="58" t="s">
        <v>144</v>
      </c>
      <c r="E46" s="58" t="s">
        <v>139</v>
      </c>
      <c r="F46" s="13" t="s">
        <v>59</v>
      </c>
      <c r="G46" s="59">
        <f>LOOKUP(B46,'Heery Data'!$B$3:$B$52,'Heery Data'!$C$3:$C$52)</f>
        <v>0</v>
      </c>
      <c r="H46" s="59">
        <v>150000</v>
      </c>
      <c r="I46" s="60">
        <f>IF(F46="New",LOOKUP(E46,Assumptions!$A$2:$A$9,Assumptions!$B$2:$B$9),I46)</f>
        <v>1424020</v>
      </c>
      <c r="J46" s="61">
        <f>IF(F46="New",LOOKUP(E46,Assumptions!$A$2:$A$9,Assumptions!$B$2:$B$9),#REF!)+H46</f>
        <v>1574020</v>
      </c>
      <c r="K46" s="85">
        <v>419753</v>
      </c>
      <c r="L46" s="59">
        <f>IF(F46="New",0,(G46*((1+Assumptions!$B$19)^($M46-Assumptions!$B$18))*(1+Assumptions!$B$20)*(1+(Assumptions!$B$21+Assumptions!$B$22))*(1+Assumptions!$B$23))-(J46*((1+Assumptions!$B$19)^($M46-Assumptions!$B$18))*(1+Assumptions!$B$20)*(1+(Assumptions!$B$21+Assumptions!$B$22))*(1+Assumptions!$B$23)))</f>
        <v>0</v>
      </c>
      <c r="M46" s="58">
        <v>2007</v>
      </c>
      <c r="N46" s="59">
        <f>(((IF($M46=VALUE(RIGHT(N$2,4)),$J46,0)*((1+Assumptions!$B$19)^($M46-Assumptions!$B$18)))*(1+Assumptions!$B$20))*(1+(Assumptions!$B$21+Assumptions!$B$22)))*(1+Assumptions!$B$23)</f>
        <v>0</v>
      </c>
      <c r="O46" s="59">
        <f>(((IF($M46=VALUE(RIGHT(O$2,4)),$J46,0)*((1+Assumptions!$B$19)^($M46-Assumptions!$B$18)))*(1+Assumptions!$B$20))*(1+(Assumptions!$B$21+Assumptions!$B$22)))*(1+Assumptions!$B$23)</f>
        <v>0</v>
      </c>
      <c r="P46" s="59">
        <f>K46/2</f>
        <v>209876.5</v>
      </c>
      <c r="Q46" s="59">
        <f>K46/2</f>
        <v>209876.5</v>
      </c>
      <c r="R46" s="59">
        <f>(((IF($M46=VALUE(RIGHT(R$2,4)),$J46,0)*((1+Assumptions!$B$19)^($M46-Assumptions!$B$18)))*(1+Assumptions!$B$20))*(1+(Assumptions!$B$21+Assumptions!$B$22)))*(1+Assumptions!$B$23)</f>
        <v>0</v>
      </c>
      <c r="S46" s="59">
        <f>(((IF($M46=VALUE(RIGHT(S$2,4)),$J46,0)*((1+Assumptions!$B$19)^($M46-Assumptions!$B$18)))*(1+Assumptions!$B$20))*(1+(Assumptions!$B$21+Assumptions!$B$22)))*(1+Assumptions!$B$23)</f>
        <v>0</v>
      </c>
      <c r="T46" s="59">
        <f>(((IF($M46=VALUE(RIGHT(T$2,4)),$J46,0)*((1+Assumptions!$B$19)^($M46-Assumptions!$B$18)))*(1+Assumptions!$B$20))*(1+(Assumptions!$B$21+Assumptions!$B$22)))*(1+Assumptions!$B$23)</f>
        <v>0</v>
      </c>
      <c r="U46" s="59">
        <f>(((IF($M46=VALUE(RIGHT(U$2,4)),$J46,0)*((1+Assumptions!$B$19)^($M46-Assumptions!$B$18)))*(1+Assumptions!$B$20))*(1+(Assumptions!$B$21+Assumptions!$B$22)))*(1+Assumptions!$B$23)</f>
        <v>0</v>
      </c>
      <c r="V46" s="59">
        <f>(((IF($M46=VALUE(RIGHT(V$2,4)),$J46,0)*((1+Assumptions!$B$19)^($M46-Assumptions!$B$18)))*(1+Assumptions!$B$20))*(1+(Assumptions!$B$21+Assumptions!$B$22)))*(1+Assumptions!$B$23)</f>
        <v>0</v>
      </c>
      <c r="W46" s="59">
        <f>(((IF($M46=VALUE(RIGHT(W$2,4)),$J46,0)*((1+Assumptions!$B$19)^($M46-Assumptions!$B$18)))*(1+Assumptions!$B$20))*(1+(Assumptions!$B$21+Assumptions!$B$22)))*(1+Assumptions!$B$23)</f>
        <v>0</v>
      </c>
      <c r="X46" s="59">
        <f>(((IF($M46=VALUE(RIGHT(X$2,4)),$J46,0)*((1+Assumptions!$B$19)^($M46-Assumptions!$B$18)))*(1+Assumptions!$B$20))*(1+(Assumptions!$B$21+Assumptions!$B$22)))*(1+Assumptions!$B$23)</f>
        <v>0</v>
      </c>
      <c r="Y46" s="59">
        <f>(((IF($M46=VALUE(RIGHT(Y$2,4)),$J46,0)*((1+Assumptions!$B$19)^($M46-Assumptions!$B$18)))*(1+Assumptions!$B$20))*(1+(Assumptions!$B$21+Assumptions!$B$22)))*(1+Assumptions!$B$23)</f>
        <v>0</v>
      </c>
      <c r="Z46" s="59">
        <f>(((IF($M46=VALUE(RIGHT(Z$2,4)),$J46,0)*((1+Assumptions!$B$19)^($M46-Assumptions!$B$18)))*(1+Assumptions!$B$20))*(1+(Assumptions!$B$21+Assumptions!$B$22)))*(1+Assumptions!$B$23)</f>
        <v>0</v>
      </c>
      <c r="AA46" s="59">
        <f>(((IF($M46=VALUE(RIGHT(AA$2,4)),$J46,0)*((1+Assumptions!$B$19)^($M46-Assumptions!$B$18)))*(1+Assumptions!$B$20))*(1+(Assumptions!$B$21+Assumptions!$B$22)))*(1+Assumptions!$B$23)</f>
        <v>0</v>
      </c>
      <c r="AB46" s="59">
        <f>(((IF($M46=VALUE(RIGHT(AB$2,4)),$J46,0)*((1+Assumptions!$B$19)^($M46-Assumptions!$B$18)))*(1+Assumptions!$B$20))*(1+(Assumptions!$B$21+Assumptions!$B$22)))*(1+Assumptions!$B$23)</f>
        <v>0</v>
      </c>
    </row>
    <row r="47" spans="1:28" s="25" customFormat="1" ht="12.75">
      <c r="A47" s="13" t="s">
        <v>146</v>
      </c>
      <c r="B47" s="57" t="s">
        <v>158</v>
      </c>
      <c r="C47" s="57" t="s">
        <v>173</v>
      </c>
      <c r="D47" s="58" t="s">
        <v>144</v>
      </c>
      <c r="E47" s="58" t="s">
        <v>139</v>
      </c>
      <c r="F47" s="13" t="s">
        <v>59</v>
      </c>
      <c r="G47" s="59">
        <f>LOOKUP(B47,'Heery Data'!$B$3:$B$52,'Heery Data'!$C$3:$C$52)</f>
        <v>0</v>
      </c>
      <c r="H47" s="59">
        <v>120000</v>
      </c>
      <c r="I47" s="60">
        <f>IF(F47="New",LOOKUP(E47,Assumptions!$A$2:$A$9,Assumptions!$B$2:$B$9),I47)</f>
        <v>1424020</v>
      </c>
      <c r="J47" s="61">
        <f>IF(F47="New",LOOKUP(E47,Assumptions!$A$2:$A$9,Assumptions!$B$2:$B$9),#REF!)+H47</f>
        <v>1544020</v>
      </c>
      <c r="K47" s="85">
        <v>1112821</v>
      </c>
      <c r="L47" s="59">
        <f>IF(F47="New",0,(G47*((1+Assumptions!$B$19)^($M47-Assumptions!$B$18))*(1+Assumptions!$B$20)*(1+(Assumptions!$B$21+Assumptions!$B$22))*(1+Assumptions!$B$23))-(J47*((1+Assumptions!$B$19)^($M47-Assumptions!$B$18))*(1+Assumptions!$B$20)*(1+(Assumptions!$B$21+Assumptions!$B$22))*(1+Assumptions!$B$23)))</f>
        <v>0</v>
      </c>
      <c r="M47" s="58">
        <v>2009</v>
      </c>
      <c r="N47" s="59">
        <f>(((IF($M47=VALUE(RIGHT(N$2,4)),$J47,0)*((1+Assumptions!$B$19)^($M47-Assumptions!$B$18)))*(1+Assumptions!$B$20))*(1+(Assumptions!$B$21+Assumptions!$B$22)))*(1+Assumptions!$B$23)</f>
        <v>0</v>
      </c>
      <c r="O47" s="59">
        <f>(((IF($M47=VALUE(RIGHT(O$2,4)),$J47,0)*((1+Assumptions!$B$19)^($M47-Assumptions!$B$18)))*(1+Assumptions!$B$20))*(1+(Assumptions!$B$21+Assumptions!$B$22)))*(1+Assumptions!$B$23)</f>
        <v>0</v>
      </c>
      <c r="P47" s="59">
        <f>(((IF($M47=VALUE(RIGHT(P$2,4)),$J47,0)*((1+Assumptions!$B$19)^($M47-Assumptions!$B$18)))*(1+Assumptions!$B$20))*(1+(Assumptions!$B$21+Assumptions!$B$22)))*(1+Assumptions!$B$23)</f>
        <v>0</v>
      </c>
      <c r="Q47" s="59">
        <f>(((IF($M47=VALUE(RIGHT(Q$2,4)),$J47,0)*((1+Assumptions!$B$19)^($M47-Assumptions!$B$18)))*(1+Assumptions!$B$20))*(1+(Assumptions!$B$21+Assumptions!$B$22)))*(1+Assumptions!$B$23)</f>
        <v>0</v>
      </c>
      <c r="R47" s="59">
        <f>K47/2</f>
        <v>556410.5</v>
      </c>
      <c r="S47" s="59">
        <f>K47/2</f>
        <v>556410.5</v>
      </c>
      <c r="T47" s="59">
        <f>(((IF($M47=VALUE(RIGHT(T$2,4)),$J47,0)*((1+Assumptions!$B$19)^($M47-Assumptions!$B$18)))*(1+Assumptions!$B$20))*(1+(Assumptions!$B$21+Assumptions!$B$22)))*(1+Assumptions!$B$23)</f>
        <v>0</v>
      </c>
      <c r="U47" s="59">
        <f>(((IF($M47=VALUE(RIGHT(U$2,4)),$J47,0)*((1+Assumptions!$B$19)^($M47-Assumptions!$B$18)))*(1+Assumptions!$B$20))*(1+(Assumptions!$B$21+Assumptions!$B$22)))*(1+Assumptions!$B$23)</f>
        <v>0</v>
      </c>
      <c r="V47" s="59">
        <f>(((IF($M47=VALUE(RIGHT(V$2,4)),$J47,0)*((1+Assumptions!$B$19)^($M47-Assumptions!$B$18)))*(1+Assumptions!$B$20))*(1+(Assumptions!$B$21+Assumptions!$B$22)))*(1+Assumptions!$B$23)</f>
        <v>0</v>
      </c>
      <c r="W47" s="59">
        <f>(((IF($M47=VALUE(RIGHT(W$2,4)),$J47,0)*((1+Assumptions!$B$19)^($M47-Assumptions!$B$18)))*(1+Assumptions!$B$20))*(1+(Assumptions!$B$21+Assumptions!$B$22)))*(1+Assumptions!$B$23)</f>
        <v>0</v>
      </c>
      <c r="X47" s="59">
        <f>(((IF($M47=VALUE(RIGHT(X$2,4)),$J47,0)*((1+Assumptions!$B$19)^($M47-Assumptions!$B$18)))*(1+Assumptions!$B$20))*(1+(Assumptions!$B$21+Assumptions!$B$22)))*(1+Assumptions!$B$23)</f>
        <v>0</v>
      </c>
      <c r="Y47" s="59">
        <f>(((IF($M47=VALUE(RIGHT(Y$2,4)),$J47,0)*((1+Assumptions!$B$19)^($M47-Assumptions!$B$18)))*(1+Assumptions!$B$20))*(1+(Assumptions!$B$21+Assumptions!$B$22)))*(1+Assumptions!$B$23)</f>
        <v>0</v>
      </c>
      <c r="Z47" s="59">
        <f>(((IF($M47=VALUE(RIGHT(Z$2,4)),$J47,0)*((1+Assumptions!$B$19)^($M47-Assumptions!$B$18)))*(1+Assumptions!$B$20))*(1+(Assumptions!$B$21+Assumptions!$B$22)))*(1+Assumptions!$B$23)</f>
        <v>0</v>
      </c>
      <c r="AA47" s="59">
        <f>(((IF($M47=VALUE(RIGHT(AA$2,4)),$J47,0)*((1+Assumptions!$B$19)^($M47-Assumptions!$B$18)))*(1+Assumptions!$B$20))*(1+(Assumptions!$B$21+Assumptions!$B$22)))*(1+Assumptions!$B$23)</f>
        <v>0</v>
      </c>
      <c r="AB47" s="59">
        <f>(((IF($M47=VALUE(RIGHT(AB$2,4)),$J47,0)*((1+Assumptions!$B$19)^($M47-Assumptions!$B$18)))*(1+Assumptions!$B$20))*(1+(Assumptions!$B$21+Assumptions!$B$22)))*(1+Assumptions!$B$23)</f>
        <v>0</v>
      </c>
    </row>
    <row r="48" spans="1:28" ht="12.75">
      <c r="A48">
        <v>28</v>
      </c>
      <c r="B48" s="52" t="s">
        <v>227</v>
      </c>
      <c r="C48" s="52" t="s">
        <v>173</v>
      </c>
      <c r="D48" s="3" t="s">
        <v>143</v>
      </c>
      <c r="E48" s="3" t="s">
        <v>138</v>
      </c>
      <c r="F48" t="s">
        <v>56</v>
      </c>
      <c r="G48" s="4">
        <f>LOOKUP(B48,'Heery Data'!$B$3:$B$52,'Heery Data'!$C$3:$C$52)</f>
        <v>1040714.0507054488</v>
      </c>
      <c r="H48" s="4">
        <f>IF(F48="New",LOOKUP(D48,Assumptions!$A$12:$A$15,Assumptions!$B$12:$B$15)*LOOKUP(E48,Assumptions!$A$2:$A$9,Assumptions!$C$2:$C$9),0)</f>
        <v>0</v>
      </c>
      <c r="I48" s="51">
        <f>IF(F48="New",LOOKUP(E48,Assumptions!$A$2:$A$9,Assumptions!$B$2:$B$9),I48)</f>
        <v>0</v>
      </c>
      <c r="J48" s="80">
        <v>0</v>
      </c>
      <c r="K48" s="86"/>
      <c r="L48" s="4">
        <f>IF(F48="New",0,(G48*((1+Assumptions!$B$19)^($M48-Assumptions!$B$18))*(1+Assumptions!$B$20)*(1+(Assumptions!$B$21+Assumptions!$B$22))*(1+Assumptions!$B$23))-(J48*((1+Assumptions!$B$19)^($M48-Assumptions!$B$18))*(1+Assumptions!$B$20)*(1+(Assumptions!$B$21+Assumptions!$B$22))*(1+Assumptions!$B$23)))</f>
        <v>1040714.0507054488</v>
      </c>
      <c r="M48" s="3">
        <v>2004</v>
      </c>
      <c r="N48" s="4">
        <v>0</v>
      </c>
      <c r="O48" s="4">
        <v>0</v>
      </c>
      <c r="P48" s="4">
        <v>0</v>
      </c>
      <c r="Q48" s="4">
        <v>0</v>
      </c>
      <c r="R48" s="4">
        <f>(((IF($M48=VALUE(RIGHT(R$2,4)),$J48,0)*((1+Assumptions!$B$19)^($M48-Assumptions!$B$18)))*(1+Assumptions!$B$20))*(1+(Assumptions!$B$21+Assumptions!$B$22)))*(1+Assumptions!$B$23)</f>
        <v>0</v>
      </c>
      <c r="S48" s="4">
        <f>(((IF($M48=VALUE(RIGHT(S$2,4)),$J48,0)*((1+Assumptions!$B$19)^($M48-Assumptions!$B$18)))*(1+Assumptions!$B$20))*(1+(Assumptions!$B$21+Assumptions!$B$22)))*(1+Assumptions!$B$23)</f>
        <v>0</v>
      </c>
      <c r="T48" s="4">
        <f>(((IF($M48=VALUE(RIGHT(T$2,4)),$J48,0)*((1+Assumptions!$B$19)^($M48-Assumptions!$B$18)))*(1+Assumptions!$B$20))*(1+(Assumptions!$B$21+Assumptions!$B$22)))*(1+Assumptions!$B$23)</f>
        <v>0</v>
      </c>
      <c r="U48" s="4">
        <f>(((IF($M48=VALUE(RIGHT(U$2,4)),$J48,0)*((1+Assumptions!$B$19)^($M48-Assumptions!$B$18)))*(1+Assumptions!$B$20))*(1+(Assumptions!$B$21+Assumptions!$B$22)))*(1+Assumptions!$B$23)</f>
        <v>0</v>
      </c>
      <c r="V48" s="4">
        <f>(((IF($M48=VALUE(RIGHT(V$2,4)),$J48,0)*((1+Assumptions!$B$19)^($M48-Assumptions!$B$18)))*(1+Assumptions!$B$20))*(1+(Assumptions!$B$21+Assumptions!$B$22)))*(1+Assumptions!$B$23)</f>
        <v>0</v>
      </c>
      <c r="W48" s="4">
        <f>(((IF($M48=VALUE(RIGHT(W$2,4)),$J48,0)*((1+Assumptions!$B$19)^($M48-Assumptions!$B$18)))*(1+Assumptions!$B$20))*(1+(Assumptions!$B$21+Assumptions!$B$22)))*(1+Assumptions!$B$23)</f>
        <v>0</v>
      </c>
      <c r="X48" s="4">
        <f>(((IF($M48=VALUE(RIGHT(X$2,4)),$J48,0)*((1+Assumptions!$B$19)^($M48-Assumptions!$B$18)))*(1+Assumptions!$B$20))*(1+(Assumptions!$B$21+Assumptions!$B$22)))*(1+Assumptions!$B$23)</f>
        <v>0</v>
      </c>
      <c r="Y48" s="4">
        <f>(((IF($M48=VALUE(RIGHT(Y$2,4)),$J48,0)*((1+Assumptions!$B$19)^($M48-Assumptions!$B$18)))*(1+Assumptions!$B$20))*(1+(Assumptions!$B$21+Assumptions!$B$22)))*(1+Assumptions!$B$23)</f>
        <v>0</v>
      </c>
      <c r="Z48" s="4">
        <f>(((IF($M48=VALUE(RIGHT(Z$2,4)),$J48,0)*((1+Assumptions!$B$19)^($M48-Assumptions!$B$18)))*(1+Assumptions!$B$20))*(1+(Assumptions!$B$21+Assumptions!$B$22)))*(1+Assumptions!$B$23)</f>
        <v>0</v>
      </c>
      <c r="AA48" s="4">
        <f>(((IF($M48=VALUE(RIGHT(AA$2,4)),$J48,0)*((1+Assumptions!$B$19)^($M48-Assumptions!$B$18)))*(1+Assumptions!$B$20))*(1+(Assumptions!$B$21+Assumptions!$B$22)))*(1+Assumptions!$B$23)</f>
        <v>0</v>
      </c>
      <c r="AB48" s="4">
        <f>(((IF($M48=VALUE(RIGHT(AB$2,4)),$J48,0)*((1+Assumptions!$B$19)^($M48-Assumptions!$B$18)))*(1+Assumptions!$B$20))*(1+(Assumptions!$B$21+Assumptions!$B$22)))*(1+Assumptions!$B$23)</f>
        <v>0</v>
      </c>
    </row>
    <row r="49" spans="1:28" ht="12.75">
      <c r="A49">
        <v>31</v>
      </c>
      <c r="B49" s="52" t="s">
        <v>50</v>
      </c>
      <c r="C49" s="52" t="s">
        <v>173</v>
      </c>
      <c r="D49" s="3" t="s">
        <v>143</v>
      </c>
      <c r="E49" s="3" t="s">
        <v>139</v>
      </c>
      <c r="F49" t="s">
        <v>60</v>
      </c>
      <c r="G49" s="4">
        <f>LOOKUP(B49,'Heery Data'!$B$3:$B$52,'Heery Data'!$C$3:$C$52)</f>
        <v>1086955.2864490314</v>
      </c>
      <c r="H49" s="4">
        <f>IF(F49="New",LOOKUP(D49,Assumptions!$A$12:$A$15,Assumptions!$B$12:$B$15)*LOOKUP(E49,Assumptions!$A$2:$A$9,Assumptions!$C$2:$C$9),0)</f>
        <v>0</v>
      </c>
      <c r="I49" s="51">
        <f>IF(F49="New",LOOKUP(E49,Assumptions!$A$2:$A$9,Assumptions!$B$2:$B$9),I49)</f>
        <v>0</v>
      </c>
      <c r="J49" s="80">
        <v>0</v>
      </c>
      <c r="K49" s="86"/>
      <c r="L49" s="4">
        <f>IF(F49="New",0,(G49*((1+Assumptions!$B$19)^($M49-Assumptions!$B$18))*(1+Assumptions!$B$20)*(1+(Assumptions!$B$21+Assumptions!$B$22))*(1+Assumptions!$B$23))-(J49*((1+Assumptions!$B$19)^($M49-Assumptions!$B$18))*(1+Assumptions!$B$20)*(1+(Assumptions!$B$21+Assumptions!$B$22))*(1+Assumptions!$B$23)))</f>
        <v>1086955.2864490314</v>
      </c>
      <c r="M49" s="3">
        <v>2005</v>
      </c>
      <c r="N49" s="4">
        <v>31203</v>
      </c>
      <c r="O49" s="4">
        <v>40650</v>
      </c>
      <c r="P49" s="4">
        <f>205093+19132</f>
        <v>224225</v>
      </c>
      <c r="Q49" s="4">
        <v>213087</v>
      </c>
      <c r="R49" s="4">
        <f>(((IF($M49=VALUE(RIGHT(R$2,4)),$J49,0)*((1+Assumptions!$B$19)^($M49-Assumptions!$B$18)))*(1+Assumptions!$B$20))*(1+(Assumptions!$B$21+Assumptions!$B$22)))*(1+Assumptions!$B$23)</f>
        <v>0</v>
      </c>
      <c r="S49" s="4">
        <f>(((IF($M49=VALUE(RIGHT(S$2,4)),$J49,0)*((1+Assumptions!$B$19)^($M49-Assumptions!$B$18)))*(1+Assumptions!$B$20))*(1+(Assumptions!$B$21+Assumptions!$B$22)))*(1+Assumptions!$B$23)</f>
        <v>0</v>
      </c>
      <c r="T49" s="4">
        <f>(((IF($M49=VALUE(RIGHT(T$2,4)),$J49,0)*((1+Assumptions!$B$19)^($M49-Assumptions!$B$18)))*(1+Assumptions!$B$20))*(1+(Assumptions!$B$21+Assumptions!$B$22)))*(1+Assumptions!$B$23)</f>
        <v>0</v>
      </c>
      <c r="U49" s="4">
        <f>(((IF($M49=VALUE(RIGHT(U$2,4)),$J49,0)*((1+Assumptions!$B$19)^($M49-Assumptions!$B$18)))*(1+Assumptions!$B$20))*(1+(Assumptions!$B$21+Assumptions!$B$22)))*(1+Assumptions!$B$23)</f>
        <v>0</v>
      </c>
      <c r="V49" s="4">
        <f>(((IF($M49=VALUE(RIGHT(V$2,4)),$J49,0)*((1+Assumptions!$B$19)^($M49-Assumptions!$B$18)))*(1+Assumptions!$B$20))*(1+(Assumptions!$B$21+Assumptions!$B$22)))*(1+Assumptions!$B$23)</f>
        <v>0</v>
      </c>
      <c r="W49" s="4">
        <f>(((IF($M49=VALUE(RIGHT(W$2,4)),$J49,0)*((1+Assumptions!$B$19)^($M49-Assumptions!$B$18)))*(1+Assumptions!$B$20))*(1+(Assumptions!$B$21+Assumptions!$B$22)))*(1+Assumptions!$B$23)</f>
        <v>0</v>
      </c>
      <c r="X49" s="4">
        <f>(((IF($M49=VALUE(RIGHT(X$2,4)),$J49,0)*((1+Assumptions!$B$19)^($M49-Assumptions!$B$18)))*(1+Assumptions!$B$20))*(1+(Assumptions!$B$21+Assumptions!$B$22)))*(1+Assumptions!$B$23)</f>
        <v>0</v>
      </c>
      <c r="Y49" s="4">
        <f>(((IF($M49=VALUE(RIGHT(Y$2,4)),$J49,0)*((1+Assumptions!$B$19)^($M49-Assumptions!$B$18)))*(1+Assumptions!$B$20))*(1+(Assumptions!$B$21+Assumptions!$B$22)))*(1+Assumptions!$B$23)</f>
        <v>0</v>
      </c>
      <c r="Z49" s="4">
        <f>(((IF($M49=VALUE(RIGHT(Z$2,4)),$J49,0)*((1+Assumptions!$B$19)^($M49-Assumptions!$B$18)))*(1+Assumptions!$B$20))*(1+(Assumptions!$B$21+Assumptions!$B$22)))*(1+Assumptions!$B$23)</f>
        <v>0</v>
      </c>
      <c r="AA49" s="4">
        <f>(((IF($M49=VALUE(RIGHT(AA$2,4)),$J49,0)*((1+Assumptions!$B$19)^($M49-Assumptions!$B$18)))*(1+Assumptions!$B$20))*(1+(Assumptions!$B$21+Assumptions!$B$22)))*(1+Assumptions!$B$23)</f>
        <v>0</v>
      </c>
      <c r="AB49" s="4">
        <f>(((IF($M49=VALUE(RIGHT(AB$2,4)),$J49,0)*((1+Assumptions!$B$19)^($M49-Assumptions!$B$18)))*(1+Assumptions!$B$20))*(1+(Assumptions!$B$21+Assumptions!$B$22)))*(1+Assumptions!$B$23)</f>
        <v>0</v>
      </c>
    </row>
    <row r="50" spans="1:28" ht="12.75">
      <c r="A50">
        <v>32</v>
      </c>
      <c r="B50" s="52" t="s">
        <v>51</v>
      </c>
      <c r="C50" s="52" t="s">
        <v>173</v>
      </c>
      <c r="D50" s="3" t="s">
        <v>143</v>
      </c>
      <c r="E50" s="3" t="s">
        <v>138</v>
      </c>
      <c r="F50" t="s">
        <v>60</v>
      </c>
      <c r="G50" s="4">
        <f>LOOKUP(B50,'Heery Data'!$B$3:$B$52,'Heery Data'!$C$3:$C$52)</f>
        <v>238081.77642609348</v>
      </c>
      <c r="H50" s="4">
        <f>IF(F50="New",LOOKUP(D50,Assumptions!$A$12:$A$15,Assumptions!$B$12:$B$15)*LOOKUP(E50,Assumptions!$A$2:$A$9,Assumptions!$C$2:$C$9),0)</f>
        <v>0</v>
      </c>
      <c r="I50" s="51">
        <f>IF(F50="New",LOOKUP(E50,Assumptions!$A$2:$A$9,Assumptions!$B$2:$B$9),I50)</f>
        <v>0</v>
      </c>
      <c r="J50" s="80">
        <v>0</v>
      </c>
      <c r="K50" s="86"/>
      <c r="L50" s="4">
        <f>IF(F50="New",0,(G50*((1+Assumptions!$B$19)^($M50-Assumptions!$B$18))*(1+Assumptions!$B$20)*(1+(Assumptions!$B$21+Assumptions!$B$22))*(1+Assumptions!$B$23))-(J50*((1+Assumptions!$B$19)^($M50-Assumptions!$B$18))*(1+Assumptions!$B$20)*(1+(Assumptions!$B$21+Assumptions!$B$22))*(1+Assumptions!$B$23)))</f>
        <v>238081.77642609348</v>
      </c>
      <c r="M50" s="3">
        <v>2005</v>
      </c>
      <c r="N50" s="4">
        <v>16479</v>
      </c>
      <c r="O50" s="4">
        <v>17472</v>
      </c>
      <c r="P50" s="4">
        <f>65347+12785+7306</f>
        <v>85438</v>
      </c>
      <c r="Q50" s="4">
        <v>0</v>
      </c>
      <c r="R50" s="4">
        <f>(((IF($M50=VALUE(RIGHT(R$2,4)),$J50,0)*((1+Assumptions!$B$19)^($M50-Assumptions!$B$18)))*(1+Assumptions!$B$20))*(1+(Assumptions!$B$21+Assumptions!$B$22)))*(1+Assumptions!$B$23)</f>
        <v>0</v>
      </c>
      <c r="S50" s="4">
        <f>(((IF($M50=VALUE(RIGHT(S$2,4)),$J50,0)*((1+Assumptions!$B$19)^($M50-Assumptions!$B$18)))*(1+Assumptions!$B$20))*(1+(Assumptions!$B$21+Assumptions!$B$22)))*(1+Assumptions!$B$23)</f>
        <v>0</v>
      </c>
      <c r="T50" s="4">
        <f>(((IF($M50=VALUE(RIGHT(T$2,4)),$J50,0)*((1+Assumptions!$B$19)^($M50-Assumptions!$B$18)))*(1+Assumptions!$B$20))*(1+(Assumptions!$B$21+Assumptions!$B$22)))*(1+Assumptions!$B$23)</f>
        <v>0</v>
      </c>
      <c r="U50" s="4">
        <f>(((IF($M50=VALUE(RIGHT(U$2,4)),$J50,0)*((1+Assumptions!$B$19)^($M50-Assumptions!$B$18)))*(1+Assumptions!$B$20))*(1+(Assumptions!$B$21+Assumptions!$B$22)))*(1+Assumptions!$B$23)</f>
        <v>0</v>
      </c>
      <c r="V50" s="4">
        <f>(((IF($M50=VALUE(RIGHT(V$2,4)),$J50,0)*((1+Assumptions!$B$19)^($M50-Assumptions!$B$18)))*(1+Assumptions!$B$20))*(1+(Assumptions!$B$21+Assumptions!$B$22)))*(1+Assumptions!$B$23)</f>
        <v>0</v>
      </c>
      <c r="W50" s="4">
        <f>(((IF($M50=VALUE(RIGHT(W$2,4)),$J50,0)*((1+Assumptions!$B$19)^($M50-Assumptions!$B$18)))*(1+Assumptions!$B$20))*(1+(Assumptions!$B$21+Assumptions!$B$22)))*(1+Assumptions!$B$23)</f>
        <v>0</v>
      </c>
      <c r="X50" s="4">
        <f>(((IF($M50=VALUE(RIGHT(X$2,4)),$J50,0)*((1+Assumptions!$B$19)^($M50-Assumptions!$B$18)))*(1+Assumptions!$B$20))*(1+(Assumptions!$B$21+Assumptions!$B$22)))*(1+Assumptions!$B$23)</f>
        <v>0</v>
      </c>
      <c r="Y50" s="4">
        <f>(((IF($M50=VALUE(RIGHT(Y$2,4)),$J50,0)*((1+Assumptions!$B$19)^($M50-Assumptions!$B$18)))*(1+Assumptions!$B$20))*(1+(Assumptions!$B$21+Assumptions!$B$22)))*(1+Assumptions!$B$23)</f>
        <v>0</v>
      </c>
      <c r="Z50" s="4">
        <f>(((IF($M50=VALUE(RIGHT(Z$2,4)),$J50,0)*((1+Assumptions!$B$19)^($M50-Assumptions!$B$18)))*(1+Assumptions!$B$20))*(1+(Assumptions!$B$21+Assumptions!$B$22)))*(1+Assumptions!$B$23)</f>
        <v>0</v>
      </c>
      <c r="AA50" s="4">
        <f>(((IF($M50=VALUE(RIGHT(AA$2,4)),$J50,0)*((1+Assumptions!$B$19)^($M50-Assumptions!$B$18)))*(1+Assumptions!$B$20))*(1+(Assumptions!$B$21+Assumptions!$B$22)))*(1+Assumptions!$B$23)</f>
        <v>0</v>
      </c>
      <c r="AB50" s="4">
        <f>(((IF($M50=VALUE(RIGHT(AB$2,4)),$J50,0)*((1+Assumptions!$B$19)^($M50-Assumptions!$B$18)))*(1+Assumptions!$B$20))*(1+(Assumptions!$B$21+Assumptions!$B$22)))*(1+Assumptions!$B$23)</f>
        <v>0</v>
      </c>
    </row>
    <row r="51" spans="1:28" ht="12.75">
      <c r="A51">
        <v>11</v>
      </c>
      <c r="B51" s="52" t="s">
        <v>52</v>
      </c>
      <c r="C51" s="52" t="s">
        <v>173</v>
      </c>
      <c r="D51" s="3" t="s">
        <v>143</v>
      </c>
      <c r="E51" s="3" t="s">
        <v>139</v>
      </c>
      <c r="F51" t="s">
        <v>60</v>
      </c>
      <c r="G51" s="4">
        <f>LOOKUP(B51,'Heery Data'!$B$3:$B$52,'Heery Data'!$C$3:$C$52)</f>
        <v>443802.7851265007</v>
      </c>
      <c r="H51" s="4">
        <f>IF(F51="New",LOOKUP(D51,Assumptions!$A$12:$A$15,Assumptions!$B$12:$B$15)*LOOKUP(E51,Assumptions!$A$2:$A$9,Assumptions!$C$2:$C$9),0)</f>
        <v>0</v>
      </c>
      <c r="I51" s="51">
        <f>IF(F51="New",LOOKUP(E51,Assumptions!$A$2:$A$9,Assumptions!$B$2:$B$9),I51)</f>
        <v>0</v>
      </c>
      <c r="J51" s="80">
        <v>0</v>
      </c>
      <c r="K51" s="86"/>
      <c r="L51" s="4">
        <f>IF(F51="New",0,(G51*((1+Assumptions!$B$19)^($M51-Assumptions!$B$18))*(1+Assumptions!$B$20)*(1+(Assumptions!$B$21+Assumptions!$B$22))*(1+Assumptions!$B$23))-(J51*((1+Assumptions!$B$19)^($M51-Assumptions!$B$18))*(1+Assumptions!$B$20)*(1+(Assumptions!$B$21+Assumptions!$B$22))*(1+Assumptions!$B$23)))</f>
        <v>443802.7851265007</v>
      </c>
      <c r="M51" s="3">
        <v>2005</v>
      </c>
      <c r="N51" s="4">
        <v>24434</v>
      </c>
      <c r="O51" s="4">
        <f>41171+1421</f>
        <v>42592</v>
      </c>
      <c r="P51" s="4">
        <v>7435</v>
      </c>
      <c r="Q51" s="4">
        <v>150581</v>
      </c>
      <c r="R51" s="4">
        <f>(((IF($M51=VALUE(RIGHT(R$2,4)),$J51,0)*((1+Assumptions!$B$19)^($M51-Assumptions!$B$18)))*(1+Assumptions!$B$20))*(1+(Assumptions!$B$21+Assumptions!$B$22)))*(1+Assumptions!$B$23)</f>
        <v>0</v>
      </c>
      <c r="S51" s="4">
        <f>(((IF($M51=VALUE(RIGHT(S$2,4)),$J51,0)*((1+Assumptions!$B$19)^($M51-Assumptions!$B$18)))*(1+Assumptions!$B$20))*(1+(Assumptions!$B$21+Assumptions!$B$22)))*(1+Assumptions!$B$23)</f>
        <v>0</v>
      </c>
      <c r="T51" s="4">
        <f>(((IF($M51=VALUE(RIGHT(T$2,4)),$J51,0)*((1+Assumptions!$B$19)^($M51-Assumptions!$B$18)))*(1+Assumptions!$B$20))*(1+(Assumptions!$B$21+Assumptions!$B$22)))*(1+Assumptions!$B$23)</f>
        <v>0</v>
      </c>
      <c r="U51" s="4">
        <f>(((IF($M51=VALUE(RIGHT(U$2,4)),$J51,0)*((1+Assumptions!$B$19)^($M51-Assumptions!$B$18)))*(1+Assumptions!$B$20))*(1+(Assumptions!$B$21+Assumptions!$B$22)))*(1+Assumptions!$B$23)</f>
        <v>0</v>
      </c>
      <c r="V51" s="4">
        <f>(((IF($M51=VALUE(RIGHT(V$2,4)),$J51,0)*((1+Assumptions!$B$19)^($M51-Assumptions!$B$18)))*(1+Assumptions!$B$20))*(1+(Assumptions!$B$21+Assumptions!$B$22)))*(1+Assumptions!$B$23)</f>
        <v>0</v>
      </c>
      <c r="W51" s="4">
        <f>(((IF($M51=VALUE(RIGHT(W$2,4)),$J51,0)*((1+Assumptions!$B$19)^($M51-Assumptions!$B$18)))*(1+Assumptions!$B$20))*(1+(Assumptions!$B$21+Assumptions!$B$22)))*(1+Assumptions!$B$23)</f>
        <v>0</v>
      </c>
      <c r="X51" s="4">
        <f>(((IF($M51=VALUE(RIGHT(X$2,4)),$J51,0)*((1+Assumptions!$B$19)^($M51-Assumptions!$B$18)))*(1+Assumptions!$B$20))*(1+(Assumptions!$B$21+Assumptions!$B$22)))*(1+Assumptions!$B$23)</f>
        <v>0</v>
      </c>
      <c r="Y51" s="4">
        <f>(((IF($M51=VALUE(RIGHT(Y$2,4)),$J51,0)*((1+Assumptions!$B$19)^($M51-Assumptions!$B$18)))*(1+Assumptions!$B$20))*(1+(Assumptions!$B$21+Assumptions!$B$22)))*(1+Assumptions!$B$23)</f>
        <v>0</v>
      </c>
      <c r="Z51" s="4">
        <f>(((IF($M51=VALUE(RIGHT(Z$2,4)),$J51,0)*((1+Assumptions!$B$19)^($M51-Assumptions!$B$18)))*(1+Assumptions!$B$20))*(1+(Assumptions!$B$21+Assumptions!$B$22)))*(1+Assumptions!$B$23)</f>
        <v>0</v>
      </c>
      <c r="AA51" s="4">
        <f>(((IF($M51=VALUE(RIGHT(AA$2,4)),$J51,0)*((1+Assumptions!$B$19)^($M51-Assumptions!$B$18)))*(1+Assumptions!$B$20))*(1+(Assumptions!$B$21+Assumptions!$B$22)))*(1+Assumptions!$B$23)</f>
        <v>0</v>
      </c>
      <c r="AB51" s="4">
        <f>(((IF($M51=VALUE(RIGHT(AB$2,4)),$J51,0)*((1+Assumptions!$B$19)^($M51-Assumptions!$B$18)))*(1+Assumptions!$B$20))*(1+(Assumptions!$B$21+Assumptions!$B$22)))*(1+Assumptions!$B$23)</f>
        <v>0</v>
      </c>
    </row>
    <row r="52" spans="1:28" ht="12.75">
      <c r="A52">
        <v>19</v>
      </c>
      <c r="B52" s="52" t="s">
        <v>53</v>
      </c>
      <c r="C52" s="52" t="s">
        <v>173</v>
      </c>
      <c r="D52" s="3" t="s">
        <v>142</v>
      </c>
      <c r="E52" s="3" t="s">
        <v>138</v>
      </c>
      <c r="F52" t="s">
        <v>56</v>
      </c>
      <c r="G52" s="4">
        <f>LOOKUP(B52,'Heery Data'!$B$3:$B$52,'Heery Data'!$C$3:$C$52)</f>
        <v>474810</v>
      </c>
      <c r="H52" s="4">
        <f>IF(F52="New",LOOKUP(D52,Assumptions!$A$12:$A$15,Assumptions!$B$12:$B$15)*LOOKUP(E52,Assumptions!$A$2:$A$9,Assumptions!$C$2:$C$9),0)</f>
        <v>0</v>
      </c>
      <c r="I52" s="51">
        <f>IF(F52="New",LOOKUP(E52,Assumptions!$A$2:$A$9,Assumptions!$B$2:$B$9),I52)</f>
        <v>0</v>
      </c>
      <c r="J52" s="80">
        <v>0</v>
      </c>
      <c r="K52" s="86"/>
      <c r="L52" s="4">
        <f>IF(F52="New",0,(G52*((1+Assumptions!$B$19)^($M52-Assumptions!$B$18))*(1+Assumptions!$B$20)*(1+(Assumptions!$B$21+Assumptions!$B$22))*(1+Assumptions!$B$23))-(J52*((1+Assumptions!$B$19)^($M52-Assumptions!$B$18))*(1+Assumptions!$B$20)*(1+(Assumptions!$B$21+Assumptions!$B$22))*(1+Assumptions!$B$23)))</f>
        <v>474810</v>
      </c>
      <c r="M52" s="3">
        <v>2004</v>
      </c>
      <c r="N52" s="4">
        <v>77367</v>
      </c>
      <c r="O52" s="4">
        <f>1331+28412</f>
        <v>29743</v>
      </c>
      <c r="P52" s="4">
        <v>4147</v>
      </c>
      <c r="Q52" s="4">
        <v>127852</v>
      </c>
      <c r="R52" s="4">
        <f>(((IF($M52=VALUE(RIGHT(R$2,4)),$J52,0)*((1+Assumptions!$B$19)^($M52-Assumptions!$B$18)))*(1+Assumptions!$B$20))*(1+(Assumptions!$B$21+Assumptions!$B$22)))*(1+Assumptions!$B$23)</f>
        <v>0</v>
      </c>
      <c r="S52" s="4">
        <f>(((IF($M52=VALUE(RIGHT(S$2,4)),$J52,0)*((1+Assumptions!$B$19)^($M52-Assumptions!$B$18)))*(1+Assumptions!$B$20))*(1+(Assumptions!$B$21+Assumptions!$B$22)))*(1+Assumptions!$B$23)</f>
        <v>0</v>
      </c>
      <c r="T52" s="4">
        <f>(((IF($M52=VALUE(RIGHT(T$2,4)),$J52,0)*((1+Assumptions!$B$19)^($M52-Assumptions!$B$18)))*(1+Assumptions!$B$20))*(1+(Assumptions!$B$21+Assumptions!$B$22)))*(1+Assumptions!$B$23)</f>
        <v>0</v>
      </c>
      <c r="U52" s="4">
        <f>(((IF($M52=VALUE(RIGHT(U$2,4)),$J52,0)*((1+Assumptions!$B$19)^($M52-Assumptions!$B$18)))*(1+Assumptions!$B$20))*(1+(Assumptions!$B$21+Assumptions!$B$22)))*(1+Assumptions!$B$23)</f>
        <v>0</v>
      </c>
      <c r="V52" s="4">
        <f>(((IF($M52=VALUE(RIGHT(V$2,4)),$J52,0)*((1+Assumptions!$B$19)^($M52-Assumptions!$B$18)))*(1+Assumptions!$B$20))*(1+(Assumptions!$B$21+Assumptions!$B$22)))*(1+Assumptions!$B$23)</f>
        <v>0</v>
      </c>
      <c r="W52" s="4">
        <f>(((IF($M52=VALUE(RIGHT(W$2,4)),$J52,0)*((1+Assumptions!$B$19)^($M52-Assumptions!$B$18)))*(1+Assumptions!$B$20))*(1+(Assumptions!$B$21+Assumptions!$B$22)))*(1+Assumptions!$B$23)</f>
        <v>0</v>
      </c>
      <c r="X52" s="4">
        <f>(((IF($M52=VALUE(RIGHT(X$2,4)),$J52,0)*((1+Assumptions!$B$19)^($M52-Assumptions!$B$18)))*(1+Assumptions!$B$20))*(1+(Assumptions!$B$21+Assumptions!$B$22)))*(1+Assumptions!$B$23)</f>
        <v>0</v>
      </c>
      <c r="Y52" s="4">
        <f>(((IF($M52=VALUE(RIGHT(Y$2,4)),$J52,0)*((1+Assumptions!$B$19)^($M52-Assumptions!$B$18)))*(1+Assumptions!$B$20))*(1+(Assumptions!$B$21+Assumptions!$B$22)))*(1+Assumptions!$B$23)</f>
        <v>0</v>
      </c>
      <c r="Z52" s="4">
        <f>(((IF($M52=VALUE(RIGHT(Z$2,4)),$J52,0)*((1+Assumptions!$B$19)^($M52-Assumptions!$B$18)))*(1+Assumptions!$B$20))*(1+(Assumptions!$B$21+Assumptions!$B$22)))*(1+Assumptions!$B$23)</f>
        <v>0</v>
      </c>
      <c r="AA52" s="4">
        <f>(((IF($M52=VALUE(RIGHT(AA$2,4)),$J52,0)*((1+Assumptions!$B$19)^($M52-Assumptions!$B$18)))*(1+Assumptions!$B$20))*(1+(Assumptions!$B$21+Assumptions!$B$22)))*(1+Assumptions!$B$23)</f>
        <v>0</v>
      </c>
      <c r="AB52" s="4">
        <f>(((IF($M52=VALUE(RIGHT(AB$2,4)),$J52,0)*((1+Assumptions!$B$19)^($M52-Assumptions!$B$18)))*(1+Assumptions!$B$20))*(1+(Assumptions!$B$21+Assumptions!$B$22)))*(1+Assumptions!$B$23)</f>
        <v>0</v>
      </c>
    </row>
    <row r="53" spans="1:28" ht="12.75">
      <c r="A53">
        <v>29</v>
      </c>
      <c r="B53" s="52" t="s">
        <v>54</v>
      </c>
      <c r="C53" s="52" t="s">
        <v>173</v>
      </c>
      <c r="D53" s="3" t="s">
        <v>142</v>
      </c>
      <c r="E53" s="3" t="s">
        <v>139</v>
      </c>
      <c r="F53" t="s">
        <v>56</v>
      </c>
      <c r="G53" s="4">
        <f>LOOKUP(B53,'Heery Data'!$B$3:$B$52,'Heery Data'!$C$3:$C$52)</f>
        <v>354860</v>
      </c>
      <c r="H53" s="4">
        <f>IF(F53="New",LOOKUP(D53,Assumptions!$A$12:$A$15,Assumptions!$B$12:$B$15)*LOOKUP(E53,Assumptions!$A$2:$A$9,Assumptions!$C$2:$C$9),0)</f>
        <v>0</v>
      </c>
      <c r="I53" s="51">
        <f>IF(F53="New",LOOKUP(E53,Assumptions!$A$2:$A$9,Assumptions!$B$2:$B$9),I53)</f>
        <v>0</v>
      </c>
      <c r="J53" s="80">
        <v>0</v>
      </c>
      <c r="K53" s="86"/>
      <c r="L53" s="4">
        <f>IF(F53="New",0,(G53*((1+Assumptions!$B$19)^($M53-Assumptions!$B$18))*(1+Assumptions!$B$20)*(1+(Assumptions!$B$21+Assumptions!$B$22))*(1+Assumptions!$B$23))-(J53*((1+Assumptions!$B$19)^($M53-Assumptions!$B$18))*(1+Assumptions!$B$20)*(1+(Assumptions!$B$21+Assumptions!$B$22))*(1+Assumptions!$B$23)))</f>
        <v>354860</v>
      </c>
      <c r="M53" s="3">
        <v>2004</v>
      </c>
      <c r="N53" s="4">
        <v>33214</v>
      </c>
      <c r="O53" s="4">
        <f>67284+28412</f>
        <v>95696</v>
      </c>
      <c r="P53" s="4">
        <v>10457</v>
      </c>
      <c r="Q53" s="4">
        <v>34094</v>
      </c>
      <c r="R53" s="4">
        <f>(((IF($M53=VALUE(RIGHT(R$2,4)),$J53,0)*((1+Assumptions!$B$19)^($M53-Assumptions!$B$18)))*(1+Assumptions!$B$20))*(1+(Assumptions!$B$21+Assumptions!$B$22)))*(1+Assumptions!$B$23)</f>
        <v>0</v>
      </c>
      <c r="S53" s="4">
        <f>(((IF($M53=VALUE(RIGHT(S$2,4)),$J53,0)*((1+Assumptions!$B$19)^($M53-Assumptions!$B$18)))*(1+Assumptions!$B$20))*(1+(Assumptions!$B$21+Assumptions!$B$22)))*(1+Assumptions!$B$23)</f>
        <v>0</v>
      </c>
      <c r="T53" s="4">
        <f>(((IF($M53=VALUE(RIGHT(T$2,4)),$J53,0)*((1+Assumptions!$B$19)^($M53-Assumptions!$B$18)))*(1+Assumptions!$B$20))*(1+(Assumptions!$B$21+Assumptions!$B$22)))*(1+Assumptions!$B$23)</f>
        <v>0</v>
      </c>
      <c r="U53" s="4">
        <f>(((IF($M53=VALUE(RIGHT(U$2,4)),$J53,0)*((1+Assumptions!$B$19)^($M53-Assumptions!$B$18)))*(1+Assumptions!$B$20))*(1+(Assumptions!$B$21+Assumptions!$B$22)))*(1+Assumptions!$B$23)</f>
        <v>0</v>
      </c>
      <c r="V53" s="4">
        <f>(((IF($M53=VALUE(RIGHT(V$2,4)),$J53,0)*((1+Assumptions!$B$19)^($M53-Assumptions!$B$18)))*(1+Assumptions!$B$20))*(1+(Assumptions!$B$21+Assumptions!$B$22)))*(1+Assumptions!$B$23)</f>
        <v>0</v>
      </c>
      <c r="W53" s="4">
        <f>(((IF($M53=VALUE(RIGHT(W$2,4)),$J53,0)*((1+Assumptions!$B$19)^($M53-Assumptions!$B$18)))*(1+Assumptions!$B$20))*(1+(Assumptions!$B$21+Assumptions!$B$22)))*(1+Assumptions!$B$23)</f>
        <v>0</v>
      </c>
      <c r="X53" s="4">
        <f>(((IF($M53=VALUE(RIGHT(X$2,4)),$J53,0)*((1+Assumptions!$B$19)^($M53-Assumptions!$B$18)))*(1+Assumptions!$B$20))*(1+(Assumptions!$B$21+Assumptions!$B$22)))*(1+Assumptions!$B$23)</f>
        <v>0</v>
      </c>
      <c r="Y53" s="4">
        <f>(((IF($M53=VALUE(RIGHT(Y$2,4)),$J53,0)*((1+Assumptions!$B$19)^($M53-Assumptions!$B$18)))*(1+Assumptions!$B$20))*(1+(Assumptions!$B$21+Assumptions!$B$22)))*(1+Assumptions!$B$23)</f>
        <v>0</v>
      </c>
      <c r="Z53" s="4">
        <f>(((IF($M53=VALUE(RIGHT(Z$2,4)),$J53,0)*((1+Assumptions!$B$19)^($M53-Assumptions!$B$18)))*(1+Assumptions!$B$20))*(1+(Assumptions!$B$21+Assumptions!$B$22)))*(1+Assumptions!$B$23)</f>
        <v>0</v>
      </c>
      <c r="AA53" s="4">
        <f>(((IF($M53=VALUE(RIGHT(AA$2,4)),$J53,0)*((1+Assumptions!$B$19)^($M53-Assumptions!$B$18)))*(1+Assumptions!$B$20))*(1+(Assumptions!$B$21+Assumptions!$B$22)))*(1+Assumptions!$B$23)</f>
        <v>0</v>
      </c>
      <c r="AB53" s="4">
        <f>(((IF($M53=VALUE(RIGHT(AB$2,4)),$J53,0)*((1+Assumptions!$B$19)^($M53-Assumptions!$B$18)))*(1+Assumptions!$B$20))*(1+(Assumptions!$B$21+Assumptions!$B$22)))*(1+Assumptions!$B$23)</f>
        <v>0</v>
      </c>
    </row>
    <row r="54" spans="1:28" ht="12.75">
      <c r="A54" s="19">
        <v>9</v>
      </c>
      <c r="B54" s="71" t="s">
        <v>55</v>
      </c>
      <c r="C54" s="71" t="s">
        <v>172</v>
      </c>
      <c r="D54" s="72" t="s">
        <v>143</v>
      </c>
      <c r="E54" s="72" t="s">
        <v>138</v>
      </c>
      <c r="F54" s="19" t="s">
        <v>60</v>
      </c>
      <c r="G54" s="50">
        <f>LOOKUP(B54,'Heery Data'!$B$3:$B$52,'Heery Data'!$C$3:$C$52)</f>
        <v>448880</v>
      </c>
      <c r="H54" s="50">
        <f>IF(F54="New",LOOKUP(D54,Assumptions!$A$12:$A$15,Assumptions!$B$12:$B$15)*LOOKUP(E54,Assumptions!$A$2:$A$9,Assumptions!$C$2:$C$9),0)</f>
        <v>0</v>
      </c>
      <c r="I54" s="51">
        <f>IF(F54="New",LOOKUP(E54,Assumptions!$A$2:$A$9,Assumptions!$B$2:$B$9),I54)</f>
        <v>0</v>
      </c>
      <c r="J54" s="80">
        <v>0</v>
      </c>
      <c r="K54" s="86"/>
      <c r="L54" s="50">
        <f>IF(F54="New",0,(G54*((1+Assumptions!$B$19)^($M54-Assumptions!$B$18))*(1+Assumptions!$B$20)*(1+(Assumptions!$B$21+Assumptions!$B$22))*(1+Assumptions!$B$23))-(J54*((1+Assumptions!$B$19)^($M54-Assumptions!$B$18))*(1+Assumptions!$B$20)*(1+(Assumptions!$B$21+Assumptions!$B$22))*(1+Assumptions!$B$23)))</f>
        <v>448880</v>
      </c>
      <c r="M54" s="72">
        <v>2005</v>
      </c>
      <c r="N54" s="50">
        <v>40128</v>
      </c>
      <c r="O54" s="50">
        <v>15860</v>
      </c>
      <c r="P54" s="50">
        <f>19888+33972</f>
        <v>53860</v>
      </c>
      <c r="Q54" s="50">
        <v>127852</v>
      </c>
      <c r="R54" s="50">
        <f>(((IF($M54=VALUE(RIGHT(R$2,4)),$J54,0)*((1+Assumptions!$B$19)^($M54-Assumptions!$B$18)))*(1+Assumptions!$B$20))*(1+(Assumptions!$B$21+Assumptions!$B$22)))*(1+Assumptions!$B$23)</f>
        <v>0</v>
      </c>
      <c r="S54" s="50">
        <f>(((IF($M54=VALUE(RIGHT(S$2,4)),$J54,0)*((1+Assumptions!$B$19)^($M54-Assumptions!$B$18)))*(1+Assumptions!$B$20))*(1+(Assumptions!$B$21+Assumptions!$B$22)))*(1+Assumptions!$B$23)</f>
        <v>0</v>
      </c>
      <c r="T54" s="50">
        <f>(((IF($M54=VALUE(RIGHT(T$2,4)),$J54,0)*((1+Assumptions!$B$19)^($M54-Assumptions!$B$18)))*(1+Assumptions!$B$20))*(1+(Assumptions!$B$21+Assumptions!$B$22)))*(1+Assumptions!$B$23)</f>
        <v>0</v>
      </c>
      <c r="U54" s="50">
        <f>(((IF($M54=VALUE(RIGHT(U$2,4)),$J54,0)*((1+Assumptions!$B$19)^($M54-Assumptions!$B$18)))*(1+Assumptions!$B$20))*(1+(Assumptions!$B$21+Assumptions!$B$22)))*(1+Assumptions!$B$23)</f>
        <v>0</v>
      </c>
      <c r="V54" s="50">
        <f>(((IF($M54=VALUE(RIGHT(V$2,4)),$J54,0)*((1+Assumptions!$B$19)^($M54-Assumptions!$B$18)))*(1+Assumptions!$B$20))*(1+(Assumptions!$B$21+Assumptions!$B$22)))*(1+Assumptions!$B$23)</f>
        <v>0</v>
      </c>
      <c r="W54" s="50">
        <f>(((IF($M54=VALUE(RIGHT(W$2,4)),$J54,0)*((1+Assumptions!$B$19)^($M54-Assumptions!$B$18)))*(1+Assumptions!$B$20))*(1+(Assumptions!$B$21+Assumptions!$B$22)))*(1+Assumptions!$B$23)</f>
        <v>0</v>
      </c>
      <c r="X54" s="50">
        <f>(((IF($M54=VALUE(RIGHT(X$2,4)),$J54,0)*((1+Assumptions!$B$19)^($M54-Assumptions!$B$18)))*(1+Assumptions!$B$20))*(1+(Assumptions!$B$21+Assumptions!$B$22)))*(1+Assumptions!$B$23)</f>
        <v>0</v>
      </c>
      <c r="Y54" s="50">
        <f>(((IF($M54=VALUE(RIGHT(Y$2,4)),$J54,0)*((1+Assumptions!$B$19)^($M54-Assumptions!$B$18)))*(1+Assumptions!$B$20))*(1+(Assumptions!$B$21+Assumptions!$B$22)))*(1+Assumptions!$B$23)</f>
        <v>0</v>
      </c>
      <c r="Z54" s="50">
        <f>(((IF($M54=VALUE(RIGHT(Z$2,4)),$J54,0)*((1+Assumptions!$B$19)^($M54-Assumptions!$B$18)))*(1+Assumptions!$B$20))*(1+(Assumptions!$B$21+Assumptions!$B$22)))*(1+Assumptions!$B$23)</f>
        <v>0</v>
      </c>
      <c r="AA54" s="50">
        <f>(((IF($M54=VALUE(RIGHT(AA$2,4)),$J54,0)*((1+Assumptions!$B$19)^($M54-Assumptions!$B$18)))*(1+Assumptions!$B$20))*(1+(Assumptions!$B$21+Assumptions!$B$22)))*(1+Assumptions!$B$23)</f>
        <v>0</v>
      </c>
      <c r="AB54" s="50">
        <f>(((IF($M54=VALUE(RIGHT(AB$2,4)),$J54,0)*((1+Assumptions!$B$19)^($M54-Assumptions!$B$18)))*(1+Assumptions!$B$20))*(1+(Assumptions!$B$21+Assumptions!$B$22)))*(1+Assumptions!$B$23)</f>
        <v>0</v>
      </c>
    </row>
    <row r="55" spans="2:28" s="19" customFormat="1" ht="25.5">
      <c r="B55" s="71" t="s">
        <v>186</v>
      </c>
      <c r="C55" s="71" t="s">
        <v>146</v>
      </c>
      <c r="D55" s="72"/>
      <c r="E55" s="72" t="s">
        <v>146</v>
      </c>
      <c r="F55" s="74" t="s">
        <v>146</v>
      </c>
      <c r="G55" s="50"/>
      <c r="H55" s="50"/>
      <c r="I55" s="73"/>
      <c r="J55" s="80"/>
      <c r="K55" s="86"/>
      <c r="L55" s="50"/>
      <c r="M55" s="72"/>
      <c r="N55" s="50"/>
      <c r="O55" s="50">
        <v>335000</v>
      </c>
      <c r="P55" s="50"/>
      <c r="Q55" s="50"/>
      <c r="R55" s="50"/>
      <c r="S55" s="50"/>
      <c r="T55" s="50"/>
      <c r="U55" s="50"/>
      <c r="V55" s="50"/>
      <c r="W55" s="50"/>
      <c r="X55" s="50"/>
      <c r="Y55" s="50"/>
      <c r="Z55" s="50"/>
      <c r="AA55" s="50"/>
      <c r="AB55" s="50"/>
    </row>
    <row r="56" spans="1:28" ht="25.5">
      <c r="A56" s="19"/>
      <c r="B56" s="71" t="s">
        <v>198</v>
      </c>
      <c r="C56" s="71"/>
      <c r="D56" s="72"/>
      <c r="E56" s="72"/>
      <c r="F56" s="74"/>
      <c r="G56" s="50"/>
      <c r="H56" s="50"/>
      <c r="I56" s="51"/>
      <c r="J56" s="80"/>
      <c r="K56" s="86"/>
      <c r="L56" s="50"/>
      <c r="M56" s="72"/>
      <c r="N56" s="50"/>
      <c r="O56" s="50">
        <v>100000</v>
      </c>
      <c r="P56" s="50"/>
      <c r="Q56" s="50"/>
      <c r="R56" s="50">
        <v>2535761</v>
      </c>
      <c r="S56" s="50"/>
      <c r="T56" s="50"/>
      <c r="U56" s="50"/>
      <c r="V56" s="50">
        <v>2535761</v>
      </c>
      <c r="W56" s="50">
        <v>2535761</v>
      </c>
      <c r="X56" s="50">
        <v>2535761</v>
      </c>
      <c r="Y56" s="50"/>
      <c r="Z56" s="50"/>
      <c r="AA56" s="50"/>
      <c r="AB56" s="50"/>
    </row>
    <row r="57" spans="1:28" ht="25.5">
      <c r="A57" s="19"/>
      <c r="B57" s="71" t="s">
        <v>197</v>
      </c>
      <c r="C57" s="71"/>
      <c r="D57" s="72"/>
      <c r="E57" s="72"/>
      <c r="F57" s="74"/>
      <c r="G57" s="50"/>
      <c r="H57" s="50"/>
      <c r="I57" s="51"/>
      <c r="J57" s="80"/>
      <c r="K57" s="86"/>
      <c r="L57" s="50"/>
      <c r="M57" s="72"/>
      <c r="N57" s="50"/>
      <c r="O57" s="50"/>
      <c r="P57" s="50"/>
      <c r="Q57" s="50"/>
      <c r="R57" s="50">
        <v>253392</v>
      </c>
      <c r="S57" s="50"/>
      <c r="T57" s="50"/>
      <c r="U57" s="50"/>
      <c r="V57" s="50">
        <v>253392</v>
      </c>
      <c r="W57" s="50">
        <v>253392</v>
      </c>
      <c r="X57" s="50">
        <v>253392</v>
      </c>
      <c r="Y57" s="50"/>
      <c r="Z57" s="50"/>
      <c r="AA57" s="50"/>
      <c r="AB57" s="50"/>
    </row>
    <row r="58" spans="1:28" ht="12.75">
      <c r="A58" s="19"/>
      <c r="B58" s="71"/>
      <c r="C58" s="71"/>
      <c r="D58" s="72"/>
      <c r="E58" s="72"/>
      <c r="F58" s="19"/>
      <c r="G58" s="50"/>
      <c r="H58" s="50"/>
      <c r="I58" s="51"/>
      <c r="J58" s="80"/>
      <c r="K58" s="86"/>
      <c r="L58" s="50"/>
      <c r="M58" s="72"/>
      <c r="N58" s="50"/>
      <c r="O58" s="50"/>
      <c r="P58" s="50"/>
      <c r="Q58" s="50"/>
      <c r="R58" s="50"/>
      <c r="S58" s="50"/>
      <c r="T58" s="50"/>
      <c r="U58" s="50"/>
      <c r="V58" s="50"/>
      <c r="W58" s="50"/>
      <c r="X58" s="50"/>
      <c r="Y58" s="50"/>
      <c r="Z58" s="50"/>
      <c r="AA58" s="50"/>
      <c r="AB58" s="50"/>
    </row>
    <row r="59" spans="1:28" ht="12.75">
      <c r="A59" s="19"/>
      <c r="B59" s="71"/>
      <c r="C59" s="71"/>
      <c r="D59" s="72"/>
      <c r="E59" s="72"/>
      <c r="F59" s="19"/>
      <c r="G59" s="50"/>
      <c r="H59" s="50"/>
      <c r="I59" s="51"/>
      <c r="J59" s="80"/>
      <c r="K59" s="86"/>
      <c r="L59" s="50"/>
      <c r="M59" s="72"/>
      <c r="N59" s="50"/>
      <c r="O59" s="50"/>
      <c r="P59" s="50"/>
      <c r="Q59" s="50"/>
      <c r="R59" s="50"/>
      <c r="S59" s="50"/>
      <c r="T59" s="50"/>
      <c r="U59" s="50"/>
      <c r="V59" s="50"/>
      <c r="W59" s="50"/>
      <c r="X59" s="50"/>
      <c r="Y59" s="50"/>
      <c r="Z59" s="50"/>
      <c r="AA59" s="50"/>
      <c r="AB59" s="50"/>
    </row>
    <row r="60" spans="1:28" s="19" customFormat="1" ht="13.5" thickBot="1">
      <c r="A60" s="99"/>
      <c r="B60" s="100"/>
      <c r="C60" s="100"/>
      <c r="D60" s="101"/>
      <c r="E60" s="101"/>
      <c r="F60" s="99"/>
      <c r="G60" s="102"/>
      <c r="H60" s="102"/>
      <c r="I60" s="102"/>
      <c r="J60" s="102"/>
      <c r="K60" s="103"/>
      <c r="L60" s="102"/>
      <c r="M60" s="101"/>
      <c r="N60" s="99"/>
      <c r="O60" s="99"/>
      <c r="P60" s="99"/>
      <c r="Q60" s="99"/>
      <c r="R60" s="99"/>
      <c r="S60" s="99"/>
      <c r="T60" s="99"/>
      <c r="U60" s="99"/>
      <c r="V60" s="99"/>
      <c r="W60" s="99"/>
      <c r="X60" s="99"/>
      <c r="Y60" s="99"/>
      <c r="Z60" s="99"/>
      <c r="AA60" s="99"/>
      <c r="AB60" s="99"/>
    </row>
    <row r="61" spans="2:28" s="95" customFormat="1" ht="24.75" customHeight="1" thickTop="1">
      <c r="B61" s="96" t="s">
        <v>97</v>
      </c>
      <c r="C61" s="111" t="s">
        <v>229</v>
      </c>
      <c r="D61" s="115"/>
      <c r="E61" s="115"/>
      <c r="G61" s="97">
        <f>SUM(G3:G54)</f>
        <v>35822557.89870707</v>
      </c>
      <c r="H61" s="97">
        <f>SUM(H3:H60)</f>
        <v>2158000</v>
      </c>
      <c r="I61" s="97">
        <f aca="true" t="shared" si="0" ref="I61:AB61">SUM(I3:I60)</f>
        <v>15687760.926</v>
      </c>
      <c r="J61" s="97">
        <f t="shared" si="0"/>
        <v>17845760.926</v>
      </c>
      <c r="K61" s="98"/>
      <c r="L61" s="97">
        <f t="shared" si="0"/>
        <v>34002716.89870707</v>
      </c>
      <c r="M61" s="97"/>
      <c r="N61" s="97">
        <f t="shared" si="0"/>
        <v>1147445</v>
      </c>
      <c r="O61" s="97">
        <f t="shared" si="0"/>
        <v>7177202.5</v>
      </c>
      <c r="P61" s="97">
        <f t="shared" si="0"/>
        <v>5544424.5</v>
      </c>
      <c r="Q61" s="97">
        <f t="shared" si="0"/>
        <v>1698642.5</v>
      </c>
      <c r="R61" s="97">
        <f t="shared" si="0"/>
        <v>3345563.5</v>
      </c>
      <c r="S61" s="97">
        <f t="shared" si="0"/>
        <v>2179372</v>
      </c>
      <c r="T61" s="97">
        <f t="shared" si="0"/>
        <v>2484047.538</v>
      </c>
      <c r="U61" s="97">
        <f t="shared" si="0"/>
        <v>861086.0380000001</v>
      </c>
      <c r="V61" s="97">
        <f t="shared" si="0"/>
        <v>2789153</v>
      </c>
      <c r="W61" s="97">
        <f t="shared" si="0"/>
        <v>2789153</v>
      </c>
      <c r="X61" s="97">
        <f t="shared" si="0"/>
        <v>2789153</v>
      </c>
      <c r="Y61" s="97">
        <f t="shared" si="0"/>
        <v>0</v>
      </c>
      <c r="Z61" s="97">
        <f t="shared" si="0"/>
        <v>0</v>
      </c>
      <c r="AA61" s="97">
        <f t="shared" si="0"/>
        <v>0</v>
      </c>
      <c r="AB61" s="97">
        <f t="shared" si="0"/>
        <v>0</v>
      </c>
    </row>
    <row r="62" spans="2:3" ht="12.75">
      <c r="B62" s="53"/>
      <c r="C62" s="53"/>
    </row>
    <row r="63" spans="2:3" ht="12.75">
      <c r="B63" s="53"/>
      <c r="C63" s="53"/>
    </row>
    <row r="64" spans="2:3" ht="12.75">
      <c r="B64" s="53"/>
      <c r="C64" s="53"/>
    </row>
    <row r="65" spans="2:3" ht="12.75">
      <c r="B65" s="53"/>
      <c r="C65" s="53"/>
    </row>
    <row r="66" spans="2:3" ht="12.75">
      <c r="B66" s="53"/>
      <c r="C66" s="53"/>
    </row>
    <row r="67" spans="2:3" ht="12.75">
      <c r="B67" s="53"/>
      <c r="C67" s="53"/>
    </row>
    <row r="68" spans="2:3" ht="12.75">
      <c r="B68" s="53"/>
      <c r="C68" s="53"/>
    </row>
    <row r="69" spans="2:3" ht="12.75">
      <c r="B69" s="53"/>
      <c r="C69" s="53"/>
    </row>
    <row r="70" spans="2:3" ht="12.75">
      <c r="B70" s="53"/>
      <c r="C70" s="53"/>
    </row>
    <row r="71" spans="2:3" ht="12.75">
      <c r="B71" s="53"/>
      <c r="C71" s="53"/>
    </row>
    <row r="72" spans="2:3" ht="12.75">
      <c r="B72" s="53"/>
      <c r="C72" s="53"/>
    </row>
    <row r="73" spans="2:3" ht="12.75">
      <c r="B73" s="53"/>
      <c r="C73" s="53"/>
    </row>
    <row r="74" spans="2:3" ht="12.75">
      <c r="B74" s="53"/>
      <c r="C74" s="53"/>
    </row>
    <row r="75" spans="2:3" ht="12.75">
      <c r="B75" s="53"/>
      <c r="C75" s="53"/>
    </row>
    <row r="76" spans="2:3" ht="12.75">
      <c r="B76" s="53"/>
      <c r="C76" s="53"/>
    </row>
    <row r="77" spans="2:3" ht="12.75">
      <c r="B77" s="53"/>
      <c r="C77" s="53"/>
    </row>
    <row r="78" spans="2:3" ht="12.75">
      <c r="B78" s="53"/>
      <c r="C78" s="53"/>
    </row>
    <row r="79" spans="2:3" ht="12.75">
      <c r="B79" s="53"/>
      <c r="C79" s="53"/>
    </row>
    <row r="80" spans="2:3" ht="12.75">
      <c r="B80" s="53"/>
      <c r="C80" s="53"/>
    </row>
    <row r="81" spans="2:3" ht="12.75">
      <c r="B81" s="53"/>
      <c r="C81" s="53"/>
    </row>
    <row r="82" spans="2:3" ht="12.75">
      <c r="B82" s="53"/>
      <c r="C82" s="53"/>
    </row>
    <row r="83" spans="2:3" ht="12.75">
      <c r="B83" s="53"/>
      <c r="C83" s="53"/>
    </row>
    <row r="84" spans="2:3" ht="12.75">
      <c r="B84" s="53"/>
      <c r="C84" s="53"/>
    </row>
    <row r="85" spans="2:3" ht="12.75">
      <c r="B85" s="53"/>
      <c r="C85" s="53"/>
    </row>
    <row r="86" spans="2:3" ht="12.75">
      <c r="B86" s="53"/>
      <c r="C86" s="53"/>
    </row>
    <row r="87" spans="2:3" ht="12.75">
      <c r="B87" s="53"/>
      <c r="C87" s="53"/>
    </row>
    <row r="88" spans="2:3" ht="12.75">
      <c r="B88" s="53"/>
      <c r="C88" s="53"/>
    </row>
    <row r="89" spans="2:3" ht="12.75">
      <c r="B89" s="53"/>
      <c r="C89" s="53"/>
    </row>
    <row r="90" spans="2:3" ht="12.75">
      <c r="B90" s="53"/>
      <c r="C90" s="53"/>
    </row>
    <row r="91" spans="2:3" ht="12.75">
      <c r="B91" s="53"/>
      <c r="C91" s="53"/>
    </row>
    <row r="92" spans="2:3" ht="12.75">
      <c r="B92" s="53"/>
      <c r="C92" s="53"/>
    </row>
    <row r="93" spans="2:3" ht="12.75">
      <c r="B93" s="53"/>
      <c r="C93" s="53"/>
    </row>
    <row r="94" spans="2:3" ht="12.75">
      <c r="B94" s="53"/>
      <c r="C94" s="53"/>
    </row>
    <row r="95" spans="2:3" ht="12.75">
      <c r="B95" s="53"/>
      <c r="C95" s="53"/>
    </row>
    <row r="96" spans="2:3" ht="12.75">
      <c r="B96" s="53"/>
      <c r="C96" s="53"/>
    </row>
    <row r="97" spans="2:3" ht="12.75">
      <c r="B97" s="53"/>
      <c r="C97" s="53"/>
    </row>
    <row r="98" spans="2:3" ht="12.75">
      <c r="B98" s="53"/>
      <c r="C98" s="53"/>
    </row>
    <row r="99" spans="2:3" ht="12.75">
      <c r="B99" s="53"/>
      <c r="C99" s="53"/>
    </row>
    <row r="100" spans="2:3" ht="12.75">
      <c r="B100" s="53"/>
      <c r="C100" s="53"/>
    </row>
    <row r="101" spans="2:3" ht="12.75">
      <c r="B101" s="53"/>
      <c r="C101" s="53"/>
    </row>
    <row r="102" spans="2:3" ht="12.75">
      <c r="B102" s="53"/>
      <c r="C102" s="53"/>
    </row>
    <row r="103" spans="2:3" ht="12.75">
      <c r="B103" s="53"/>
      <c r="C103" s="53"/>
    </row>
    <row r="104" spans="2:3" ht="12.75">
      <c r="B104" s="53"/>
      <c r="C104" s="53"/>
    </row>
    <row r="105" spans="2:3" ht="12.75">
      <c r="B105" s="53"/>
      <c r="C105" s="53"/>
    </row>
    <row r="106" spans="2:3" ht="12.75">
      <c r="B106" s="53"/>
      <c r="C106" s="53"/>
    </row>
    <row r="107" spans="2:3" ht="12.75">
      <c r="B107" s="53"/>
      <c r="C107" s="53"/>
    </row>
    <row r="108" spans="2:3" ht="12.75">
      <c r="B108" s="53"/>
      <c r="C108" s="53"/>
    </row>
    <row r="109" spans="2:3" ht="12.75">
      <c r="B109" s="53"/>
      <c r="C109" s="53"/>
    </row>
    <row r="110" spans="2:3" ht="12.75">
      <c r="B110" s="53"/>
      <c r="C110" s="53"/>
    </row>
    <row r="111" spans="2:3" ht="12.75">
      <c r="B111" s="53"/>
      <c r="C111" s="53"/>
    </row>
    <row r="112" spans="2:3" ht="12.75">
      <c r="B112" s="53"/>
      <c r="C112" s="53"/>
    </row>
    <row r="113" spans="2:3" ht="12.75">
      <c r="B113" s="53"/>
      <c r="C113" s="53"/>
    </row>
    <row r="114" spans="2:3" ht="12.75">
      <c r="B114" s="53"/>
      <c r="C114" s="53"/>
    </row>
    <row r="115" spans="2:3" ht="12.75">
      <c r="B115" s="53"/>
      <c r="C115" s="53"/>
    </row>
    <row r="116" spans="2:3" ht="12.75">
      <c r="B116" s="53"/>
      <c r="C116" s="53"/>
    </row>
    <row r="117" spans="2:3" ht="12.75">
      <c r="B117" s="53"/>
      <c r="C117" s="53"/>
    </row>
    <row r="118" spans="2:3" ht="12.75">
      <c r="B118" s="53"/>
      <c r="C118" s="53"/>
    </row>
    <row r="119" spans="2:3" ht="12.75">
      <c r="B119" s="53"/>
      <c r="C119" s="53"/>
    </row>
    <row r="120" spans="2:3" ht="12.75">
      <c r="B120" s="53"/>
      <c r="C120" s="53"/>
    </row>
    <row r="121" spans="2:3" ht="12.75">
      <c r="B121" s="53"/>
      <c r="C121" s="53"/>
    </row>
    <row r="122" spans="2:3" ht="12.75">
      <c r="B122" s="53"/>
      <c r="C122" s="53"/>
    </row>
    <row r="123" spans="2:3" ht="12.75">
      <c r="B123" s="53"/>
      <c r="C123" s="53"/>
    </row>
    <row r="124" spans="2:3" ht="12.75">
      <c r="B124" s="53"/>
      <c r="C124" s="53"/>
    </row>
    <row r="125" spans="2:3" ht="12.75">
      <c r="B125" s="53"/>
      <c r="C125" s="53"/>
    </row>
    <row r="126" spans="2:3" ht="12.75">
      <c r="B126" s="53"/>
      <c r="C126" s="53"/>
    </row>
    <row r="127" spans="2:3" ht="12.75">
      <c r="B127" s="53"/>
      <c r="C127" s="53"/>
    </row>
    <row r="128" spans="2:3" ht="12.75">
      <c r="B128" s="53"/>
      <c r="C128" s="53"/>
    </row>
    <row r="129" spans="2:3" ht="12.75">
      <c r="B129" s="53"/>
      <c r="C129" s="53"/>
    </row>
    <row r="130" spans="2:3" ht="12.75">
      <c r="B130" s="53"/>
      <c r="C130" s="53"/>
    </row>
    <row r="131" spans="2:3" ht="12.75">
      <c r="B131" s="53"/>
      <c r="C131" s="53"/>
    </row>
    <row r="132" spans="2:3" ht="12.75">
      <c r="B132" s="53"/>
      <c r="C132" s="53"/>
    </row>
    <row r="133" spans="2:3" ht="12.75">
      <c r="B133" s="53"/>
      <c r="C133" s="53"/>
    </row>
    <row r="134" spans="2:3" ht="12.75">
      <c r="B134" s="53"/>
      <c r="C134" s="53"/>
    </row>
    <row r="135" spans="2:3" ht="12.75">
      <c r="B135" s="53"/>
      <c r="C135" s="53"/>
    </row>
    <row r="136" spans="2:3" ht="12.75">
      <c r="B136" s="53"/>
      <c r="C136" s="53"/>
    </row>
    <row r="137" spans="2:3" ht="12.75">
      <c r="B137" s="53"/>
      <c r="C137" s="53"/>
    </row>
    <row r="138" spans="2:3" ht="12.75">
      <c r="B138" s="53"/>
      <c r="C138" s="53"/>
    </row>
    <row r="139" spans="2:3" ht="12.75">
      <c r="B139" s="53"/>
      <c r="C139" s="53"/>
    </row>
    <row r="140" spans="2:3" ht="12.75">
      <c r="B140" s="53"/>
      <c r="C140" s="53"/>
    </row>
    <row r="141" spans="2:3" ht="12.75">
      <c r="B141" s="53"/>
      <c r="C141" s="53"/>
    </row>
    <row r="142" spans="2:3" ht="12.75">
      <c r="B142" s="53"/>
      <c r="C142" s="53"/>
    </row>
    <row r="143" spans="2:3" ht="12.75">
      <c r="B143" s="53"/>
      <c r="C143" s="53"/>
    </row>
    <row r="144" spans="2:3" ht="12.75">
      <c r="B144" s="53"/>
      <c r="C144" s="53"/>
    </row>
    <row r="145" spans="2:3" ht="12.75">
      <c r="B145" s="53"/>
      <c r="C145" s="53"/>
    </row>
    <row r="146" spans="2:3" ht="12.75">
      <c r="B146" s="53"/>
      <c r="C146" s="53"/>
    </row>
    <row r="147" spans="2:3" ht="12.75">
      <c r="B147" s="53"/>
      <c r="C147" s="53"/>
    </row>
    <row r="148" spans="2:3" ht="12.75">
      <c r="B148" s="53"/>
      <c r="C148" s="53"/>
    </row>
    <row r="149" spans="2:3" ht="12.75">
      <c r="B149" s="53"/>
      <c r="C149" s="53"/>
    </row>
    <row r="150" spans="2:3" ht="12.75">
      <c r="B150" s="53"/>
      <c r="C150" s="53"/>
    </row>
    <row r="151" spans="2:3" ht="12.75">
      <c r="B151" s="53"/>
      <c r="C151" s="53"/>
    </row>
    <row r="152" spans="2:3" ht="12.75">
      <c r="B152" s="53"/>
      <c r="C152" s="53"/>
    </row>
    <row r="153" spans="2:3" ht="12.75">
      <c r="B153" s="53"/>
      <c r="C153" s="53"/>
    </row>
    <row r="154" spans="2:3" ht="12.75">
      <c r="B154" s="53"/>
      <c r="C154" s="53"/>
    </row>
    <row r="155" spans="2:3" ht="12.75">
      <c r="B155" s="53"/>
      <c r="C155" s="53"/>
    </row>
    <row r="156" spans="2:3" ht="12.75">
      <c r="B156" s="53"/>
      <c r="C156" s="53"/>
    </row>
    <row r="157" spans="2:3" ht="12.75">
      <c r="B157" s="53"/>
      <c r="C157" s="53"/>
    </row>
    <row r="158" spans="2:3" ht="12.75">
      <c r="B158" s="53"/>
      <c r="C158" s="53"/>
    </row>
    <row r="159" spans="2:3" ht="12.75">
      <c r="B159" s="53"/>
      <c r="C159" s="53"/>
    </row>
    <row r="160" spans="2:3" ht="12.75">
      <c r="B160" s="53"/>
      <c r="C160" s="53"/>
    </row>
    <row r="161" spans="2:3" ht="12.75">
      <c r="B161" s="53"/>
      <c r="C161" s="53"/>
    </row>
    <row r="162" spans="2:3" ht="12.75">
      <c r="B162" s="53"/>
      <c r="C162" s="53"/>
    </row>
    <row r="163" spans="2:3" ht="12.75">
      <c r="B163" s="53"/>
      <c r="C163" s="53"/>
    </row>
    <row r="164" spans="2:3" ht="12.75">
      <c r="B164" s="53"/>
      <c r="C164" s="53"/>
    </row>
    <row r="165" spans="2:3" ht="12.75">
      <c r="B165" s="53"/>
      <c r="C165" s="53"/>
    </row>
    <row r="166" spans="2:3" ht="12.75">
      <c r="B166" s="53"/>
      <c r="C166" s="53"/>
    </row>
    <row r="167" spans="2:3" ht="12.75">
      <c r="B167" s="53"/>
      <c r="C167" s="53"/>
    </row>
    <row r="168" spans="2:3" ht="12.75">
      <c r="B168" s="53"/>
      <c r="C168" s="53"/>
    </row>
    <row r="169" spans="2:3" ht="12.75">
      <c r="B169" s="53"/>
      <c r="C169" s="53"/>
    </row>
    <row r="170" spans="2:3" ht="12.75">
      <c r="B170" s="53"/>
      <c r="C170" s="53"/>
    </row>
    <row r="171" spans="2:3" ht="12.75">
      <c r="B171" s="53"/>
      <c r="C171" s="53"/>
    </row>
    <row r="172" spans="2:3" ht="12.75">
      <c r="B172" s="53"/>
      <c r="C172" s="53"/>
    </row>
    <row r="173" spans="2:3" ht="12.75">
      <c r="B173" s="53"/>
      <c r="C173" s="53"/>
    </row>
    <row r="174" spans="2:3" ht="12.75">
      <c r="B174" s="53"/>
      <c r="C174" s="53"/>
    </row>
    <row r="175" spans="2:3" ht="12.75">
      <c r="B175" s="53"/>
      <c r="C175" s="53"/>
    </row>
    <row r="176" spans="2:3" ht="12.75">
      <c r="B176" s="53"/>
      <c r="C176" s="53"/>
    </row>
    <row r="177" spans="2:3" ht="12.75">
      <c r="B177" s="53"/>
      <c r="C177" s="53"/>
    </row>
    <row r="178" spans="2:3" ht="12.75">
      <c r="B178" s="53"/>
      <c r="C178" s="53"/>
    </row>
    <row r="179" spans="2:3" ht="12.75">
      <c r="B179" s="53"/>
      <c r="C179" s="53"/>
    </row>
    <row r="180" spans="2:3" ht="12.75">
      <c r="B180" s="53"/>
      <c r="C180" s="53"/>
    </row>
    <row r="181" spans="2:3" ht="12.75">
      <c r="B181" s="53"/>
      <c r="C181" s="53"/>
    </row>
    <row r="182" spans="2:3" ht="12.75">
      <c r="B182" s="53"/>
      <c r="C182" s="53"/>
    </row>
    <row r="183" spans="2:3" ht="12.75">
      <c r="B183" s="53"/>
      <c r="C183" s="53"/>
    </row>
    <row r="184" spans="2:3" ht="12.75">
      <c r="B184" s="53"/>
      <c r="C184" s="53"/>
    </row>
    <row r="185" spans="2:3" ht="12.75">
      <c r="B185" s="53"/>
      <c r="C185" s="53"/>
    </row>
    <row r="186" spans="2:3" ht="12.75">
      <c r="B186" s="53"/>
      <c r="C186" s="53"/>
    </row>
    <row r="187" spans="2:3" ht="12.75">
      <c r="B187" s="53"/>
      <c r="C187" s="53"/>
    </row>
    <row r="188" spans="2:3" ht="12.75">
      <c r="B188" s="53"/>
      <c r="C188" s="53"/>
    </row>
    <row r="189" spans="2:3" ht="12.75">
      <c r="B189" s="53"/>
      <c r="C189" s="53"/>
    </row>
    <row r="190" spans="2:3" ht="12.75">
      <c r="B190" s="53"/>
      <c r="C190" s="53"/>
    </row>
    <row r="191" spans="2:3" ht="12.75">
      <c r="B191" s="53"/>
      <c r="C191" s="53"/>
    </row>
    <row r="192" spans="2:3" ht="12.75">
      <c r="B192" s="53"/>
      <c r="C192" s="53"/>
    </row>
    <row r="193" spans="2:3" ht="12.75">
      <c r="B193" s="53"/>
      <c r="C193" s="53"/>
    </row>
    <row r="194" spans="2:3" ht="12.75">
      <c r="B194" s="53"/>
      <c r="C194" s="53"/>
    </row>
    <row r="195" spans="2:3" ht="12.75">
      <c r="B195" s="53"/>
      <c r="C195" s="53"/>
    </row>
    <row r="196" spans="2:3" ht="12.75">
      <c r="B196" s="53"/>
      <c r="C196" s="53"/>
    </row>
    <row r="197" spans="2:3" ht="12.75">
      <c r="B197" s="53"/>
      <c r="C197" s="53"/>
    </row>
    <row r="198" spans="2:3" ht="12.75">
      <c r="B198" s="53"/>
      <c r="C198" s="53"/>
    </row>
    <row r="199" spans="2:3" ht="12.75">
      <c r="B199" s="53"/>
      <c r="C199" s="53"/>
    </row>
    <row r="200" spans="2:3" ht="12.75">
      <c r="B200" s="53"/>
      <c r="C200" s="53"/>
    </row>
    <row r="201" spans="2:3" ht="12.75">
      <c r="B201" s="53"/>
      <c r="C201" s="53"/>
    </row>
    <row r="202" spans="2:3" ht="12.75">
      <c r="B202" s="53"/>
      <c r="C202" s="53"/>
    </row>
    <row r="203" spans="2:3" ht="12.75">
      <c r="B203" s="53"/>
      <c r="C203" s="53"/>
    </row>
    <row r="204" spans="2:3" ht="12.75">
      <c r="B204" s="53"/>
      <c r="C204" s="53"/>
    </row>
    <row r="205" spans="2:3" ht="12.75">
      <c r="B205" s="53"/>
      <c r="C205" s="53"/>
    </row>
    <row r="206" spans="2:3" ht="12.75">
      <c r="B206" s="53"/>
      <c r="C206" s="53"/>
    </row>
    <row r="207" spans="2:3" ht="12.75">
      <c r="B207" s="53"/>
      <c r="C207" s="53"/>
    </row>
    <row r="208" spans="2:3" ht="12.75">
      <c r="B208" s="53"/>
      <c r="C208" s="53"/>
    </row>
    <row r="209" spans="2:3" ht="12.75">
      <c r="B209" s="53"/>
      <c r="C209" s="53"/>
    </row>
    <row r="210" spans="2:3" ht="12.75">
      <c r="B210" s="53"/>
      <c r="C210" s="53"/>
    </row>
    <row r="211" spans="2:3" ht="12.75">
      <c r="B211" s="53"/>
      <c r="C211" s="53"/>
    </row>
    <row r="212" spans="2:3" ht="12.75">
      <c r="B212" s="53"/>
      <c r="C212" s="53"/>
    </row>
    <row r="213" spans="2:3" ht="12.75">
      <c r="B213" s="53"/>
      <c r="C213" s="53"/>
    </row>
    <row r="214" spans="2:3" ht="12.75">
      <c r="B214" s="53"/>
      <c r="C214" s="53"/>
    </row>
    <row r="215" spans="2:3" ht="12.75">
      <c r="B215" s="53"/>
      <c r="C215" s="53"/>
    </row>
    <row r="216" spans="2:3" ht="12.75">
      <c r="B216" s="53"/>
      <c r="C216" s="53"/>
    </row>
    <row r="217" spans="2:3" ht="12.75">
      <c r="B217" s="53"/>
      <c r="C217" s="53"/>
    </row>
    <row r="218" spans="2:3" ht="12.75">
      <c r="B218" s="53"/>
      <c r="C218" s="53"/>
    </row>
    <row r="219" spans="2:3" ht="12.75">
      <c r="B219" s="53"/>
      <c r="C219" s="53"/>
    </row>
    <row r="220" spans="2:3" ht="12.75">
      <c r="B220" s="53"/>
      <c r="C220" s="53"/>
    </row>
    <row r="221" spans="2:3" ht="12.75">
      <c r="B221" s="53"/>
      <c r="C221" s="53"/>
    </row>
    <row r="222" spans="2:3" ht="12.75">
      <c r="B222" s="53"/>
      <c r="C222" s="53"/>
    </row>
    <row r="223" spans="2:3" ht="12.75">
      <c r="B223" s="53"/>
      <c r="C223" s="53"/>
    </row>
    <row r="224" spans="2:3" ht="12.75">
      <c r="B224" s="53"/>
      <c r="C224" s="53"/>
    </row>
    <row r="225" spans="2:3" ht="12.75">
      <c r="B225" s="53"/>
      <c r="C225" s="53"/>
    </row>
    <row r="226" spans="2:3" ht="12.75">
      <c r="B226" s="53"/>
      <c r="C226" s="53"/>
    </row>
    <row r="227" spans="2:3" ht="12.75">
      <c r="B227" s="53"/>
      <c r="C227" s="53"/>
    </row>
    <row r="228" spans="2:3" ht="12.75">
      <c r="B228" s="53"/>
      <c r="C228" s="53"/>
    </row>
    <row r="229" spans="2:3" ht="12.75">
      <c r="B229" s="53"/>
      <c r="C229" s="53"/>
    </row>
    <row r="230" spans="2:3" ht="12.75">
      <c r="B230" s="53"/>
      <c r="C230" s="53"/>
    </row>
    <row r="231" spans="2:3" ht="12.75">
      <c r="B231" s="53"/>
      <c r="C231" s="53"/>
    </row>
    <row r="232" spans="2:3" ht="12.75">
      <c r="B232" s="53"/>
      <c r="C232" s="53"/>
    </row>
    <row r="233" spans="2:3" ht="12.75">
      <c r="B233" s="53"/>
      <c r="C233" s="53"/>
    </row>
    <row r="234" spans="2:3" ht="12.75">
      <c r="B234" s="53"/>
      <c r="C234" s="53"/>
    </row>
    <row r="235" spans="2:3" ht="12.75">
      <c r="B235" s="53"/>
      <c r="C235" s="53"/>
    </row>
    <row r="236" spans="2:3" ht="12.75">
      <c r="B236" s="53"/>
      <c r="C236" s="53"/>
    </row>
    <row r="237" spans="2:3" ht="12.75">
      <c r="B237" s="53"/>
      <c r="C237" s="53"/>
    </row>
    <row r="238" spans="2:3" ht="12.75">
      <c r="B238" s="53"/>
      <c r="C238" s="53"/>
    </row>
    <row r="239" spans="2:3" ht="12.75">
      <c r="B239" s="53"/>
      <c r="C239" s="53"/>
    </row>
    <row r="240" spans="2:3" ht="12.75">
      <c r="B240" s="53"/>
      <c r="C240" s="53"/>
    </row>
    <row r="241" spans="2:3" ht="12.75">
      <c r="B241" s="53"/>
      <c r="C241" s="53"/>
    </row>
    <row r="242" spans="2:3" ht="12.75">
      <c r="B242" s="53"/>
      <c r="C242" s="53"/>
    </row>
    <row r="243" spans="2:3" ht="12.75">
      <c r="B243" s="53"/>
      <c r="C243" s="53"/>
    </row>
    <row r="244" spans="2:3" ht="12.75">
      <c r="B244" s="53"/>
      <c r="C244" s="53"/>
    </row>
    <row r="245" spans="2:3" ht="12.75">
      <c r="B245" s="53"/>
      <c r="C245" s="53"/>
    </row>
    <row r="246" spans="2:3" ht="12.75">
      <c r="B246" s="53"/>
      <c r="C246" s="53"/>
    </row>
    <row r="247" spans="2:3" ht="12.75">
      <c r="B247" s="53"/>
      <c r="C247" s="53"/>
    </row>
    <row r="248" spans="2:3" ht="12.75">
      <c r="B248" s="53"/>
      <c r="C248" s="53"/>
    </row>
    <row r="249" spans="2:3" ht="12.75">
      <c r="B249" s="53"/>
      <c r="C249" s="53"/>
    </row>
    <row r="250" spans="2:3" ht="12.75">
      <c r="B250" s="53"/>
      <c r="C250" s="53"/>
    </row>
    <row r="251" spans="2:3" ht="12.75">
      <c r="B251" s="53"/>
      <c r="C251" s="53"/>
    </row>
    <row r="252" spans="2:3" ht="12.75">
      <c r="B252" s="53"/>
      <c r="C252" s="53"/>
    </row>
    <row r="253" spans="2:3" ht="12.75">
      <c r="B253" s="53"/>
      <c r="C253" s="53"/>
    </row>
    <row r="254" spans="2:3" ht="12.75">
      <c r="B254" s="53"/>
      <c r="C254" s="53"/>
    </row>
    <row r="255" spans="2:3" ht="12.75">
      <c r="B255" s="53"/>
      <c r="C255" s="53"/>
    </row>
    <row r="256" spans="2:3" ht="12.75">
      <c r="B256" s="53"/>
      <c r="C256" s="53"/>
    </row>
    <row r="257" spans="2:3" ht="12.75">
      <c r="B257" s="53"/>
      <c r="C257" s="53"/>
    </row>
  </sheetData>
  <mergeCells count="2">
    <mergeCell ref="A1:AB1"/>
    <mergeCell ref="C61:E61"/>
  </mergeCells>
  <dataValidations count="1">
    <dataValidation type="list" allowBlank="1" showInputMessage="1" showErrorMessage="1" sqref="F3:F59">
      <formula1>Status</formula1>
    </dataValidation>
  </dataValidations>
  <printOptions horizontalCentered="1"/>
  <pageMargins left="0.41" right="0.41" top="0.74" bottom="1" header="0.5" footer="0.5"/>
  <pageSetup fitToHeight="1" fitToWidth="1" horizontalDpi="600" verticalDpi="600" orientation="landscape" paperSize="17" scale="66" r:id="rId1"/>
  <headerFooter alignWithMargins="0">
    <oddHeader>&amp;LWake County
Fire/EMS Capital Facilities and Equipment Study&amp;RInsert for Chapter VI,  Cost Allocation Models</oddHeader>
    <oddFooter>&amp;LTriData
&amp;8A division of System Planning Corporation&amp;RNovember 2003</oddFooter>
  </headerFooter>
</worksheet>
</file>

<file path=xl/worksheets/sheet3.xml><?xml version="1.0" encoding="utf-8"?>
<worksheet xmlns="http://schemas.openxmlformats.org/spreadsheetml/2006/main" xmlns:r="http://schemas.openxmlformats.org/officeDocument/2006/relationships">
  <dimension ref="A1:M26"/>
  <sheetViews>
    <sheetView workbookViewId="0" topLeftCell="A1">
      <selection activeCell="B1" sqref="B1"/>
    </sheetView>
  </sheetViews>
  <sheetFormatPr defaultColWidth="9.140625" defaultRowHeight="12.75"/>
  <cols>
    <col min="1" max="1" width="5.140625" style="0" bestFit="1" customWidth="1"/>
    <col min="2" max="2" width="82.421875" style="0" bestFit="1" customWidth="1"/>
  </cols>
  <sheetData>
    <row r="1" spans="2:12" ht="24.75" customHeight="1">
      <c r="B1" s="110" t="s">
        <v>259</v>
      </c>
      <c r="C1" s="3"/>
      <c r="D1" s="3"/>
      <c r="F1" s="4"/>
      <c r="G1" s="4"/>
      <c r="H1" s="4"/>
      <c r="I1" s="4"/>
      <c r="J1" s="87"/>
      <c r="K1" s="4"/>
      <c r="L1" s="3"/>
    </row>
    <row r="2" spans="1:12" ht="51">
      <c r="A2" s="106" t="s">
        <v>256</v>
      </c>
      <c r="B2" s="107" t="s">
        <v>233</v>
      </c>
      <c r="C2" s="52"/>
      <c r="D2" s="52"/>
      <c r="E2" s="52"/>
      <c r="F2" s="52"/>
      <c r="G2" s="52"/>
      <c r="H2" s="52"/>
      <c r="I2" s="52"/>
      <c r="J2" s="52"/>
      <c r="K2" s="52"/>
      <c r="L2" s="52"/>
    </row>
    <row r="3" spans="1:12" ht="51">
      <c r="A3" s="106" t="s">
        <v>160</v>
      </c>
      <c r="B3" s="107" t="s">
        <v>234</v>
      </c>
      <c r="C3" s="52"/>
      <c r="D3" s="52"/>
      <c r="E3" s="52"/>
      <c r="F3" s="52"/>
      <c r="G3" s="52"/>
      <c r="H3" s="52"/>
      <c r="I3" s="52"/>
      <c r="J3" s="52"/>
      <c r="K3" s="52"/>
      <c r="L3" s="52"/>
    </row>
    <row r="4" spans="1:12" ht="25.5">
      <c r="A4" s="106" t="s">
        <v>161</v>
      </c>
      <c r="B4" s="107" t="s">
        <v>162</v>
      </c>
      <c r="C4" s="52"/>
      <c r="D4" s="52"/>
      <c r="E4" s="52"/>
      <c r="F4" s="52"/>
      <c r="G4" s="52"/>
      <c r="H4" s="52"/>
      <c r="I4" s="52"/>
      <c r="J4" s="88"/>
      <c r="K4" s="90"/>
      <c r="L4" s="89"/>
    </row>
    <row r="5" spans="1:12" ht="12.75">
      <c r="A5" s="106" t="s">
        <v>163</v>
      </c>
      <c r="B5" s="107" t="s">
        <v>164</v>
      </c>
      <c r="C5" s="52"/>
      <c r="D5" s="52"/>
      <c r="E5" s="52"/>
      <c r="F5" s="52"/>
      <c r="G5" s="52"/>
      <c r="H5" s="52"/>
      <c r="I5" s="52"/>
      <c r="J5" s="88"/>
      <c r="K5" s="90"/>
      <c r="L5" s="89"/>
    </row>
    <row r="6" spans="1:12" ht="12.75">
      <c r="A6" s="106" t="s">
        <v>167</v>
      </c>
      <c r="B6" s="107" t="s">
        <v>168</v>
      </c>
      <c r="C6" s="52"/>
      <c r="D6" s="52"/>
      <c r="E6" s="52"/>
      <c r="F6" s="52"/>
      <c r="G6" s="52"/>
      <c r="H6" s="52"/>
      <c r="I6" s="52"/>
      <c r="J6" s="88"/>
      <c r="K6" s="90"/>
      <c r="L6" s="89"/>
    </row>
    <row r="7" spans="1:12" ht="25.5">
      <c r="A7" s="106" t="s">
        <v>175</v>
      </c>
      <c r="B7" s="107" t="s">
        <v>214</v>
      </c>
      <c r="C7" s="52"/>
      <c r="D7" s="52"/>
      <c r="E7" s="52"/>
      <c r="F7" s="52"/>
      <c r="G7" s="52"/>
      <c r="H7" s="52"/>
      <c r="I7" s="52"/>
      <c r="J7" s="52"/>
      <c r="K7" s="52"/>
      <c r="L7" s="52"/>
    </row>
    <row r="8" spans="1:12" ht="25.5">
      <c r="A8" s="106" t="s">
        <v>177</v>
      </c>
      <c r="B8" s="107" t="s">
        <v>178</v>
      </c>
      <c r="C8" s="52"/>
      <c r="D8" s="52"/>
      <c r="E8" s="52"/>
      <c r="F8" s="52"/>
      <c r="G8" s="52"/>
      <c r="H8" s="52"/>
      <c r="I8" s="52"/>
      <c r="J8" s="52"/>
      <c r="K8" s="52"/>
      <c r="L8" s="52"/>
    </row>
    <row r="9" spans="1:12" ht="38.25">
      <c r="A9" s="106" t="s">
        <v>188</v>
      </c>
      <c r="B9" s="107" t="s">
        <v>218</v>
      </c>
      <c r="C9" s="52"/>
      <c r="D9" s="52"/>
      <c r="E9" s="52"/>
      <c r="F9" s="52"/>
      <c r="G9" s="52"/>
      <c r="H9" s="52"/>
      <c r="I9" s="52"/>
      <c r="J9" s="88"/>
      <c r="K9" s="90"/>
      <c r="L9" s="89"/>
    </row>
    <row r="10" spans="1:12" ht="38.25">
      <c r="A10" s="106" t="s">
        <v>189</v>
      </c>
      <c r="B10" s="107" t="s">
        <v>191</v>
      </c>
      <c r="C10" s="52"/>
      <c r="D10" s="52"/>
      <c r="E10" s="52"/>
      <c r="F10" s="52"/>
      <c r="G10" s="52"/>
      <c r="H10" s="52"/>
      <c r="I10" s="52"/>
      <c r="J10" s="52"/>
      <c r="K10" s="52"/>
      <c r="L10" s="52"/>
    </row>
    <row r="11" spans="1:12" ht="12.75">
      <c r="A11" s="106" t="s">
        <v>199</v>
      </c>
      <c r="B11" s="107" t="s">
        <v>200</v>
      </c>
      <c r="C11" s="89"/>
      <c r="D11" s="89"/>
      <c r="E11" s="52"/>
      <c r="F11" s="90"/>
      <c r="G11" s="90"/>
      <c r="H11" s="90"/>
      <c r="I11" s="90"/>
      <c r="J11" s="104"/>
      <c r="K11" s="90"/>
      <c r="L11" s="89"/>
    </row>
    <row r="12" spans="1:12" ht="12.75">
      <c r="A12" s="106" t="s">
        <v>202</v>
      </c>
      <c r="B12" s="107" t="s">
        <v>203</v>
      </c>
      <c r="C12" s="89"/>
      <c r="D12" s="89"/>
      <c r="E12" s="52"/>
      <c r="F12" s="90"/>
      <c r="G12" s="90"/>
      <c r="H12" s="90"/>
      <c r="I12" s="90"/>
      <c r="J12" s="104"/>
      <c r="K12" s="90"/>
      <c r="L12" s="89"/>
    </row>
    <row r="13" spans="1:12" ht="12.75">
      <c r="A13" s="106" t="s">
        <v>204</v>
      </c>
      <c r="B13" s="107" t="s">
        <v>205</v>
      </c>
      <c r="C13" s="89"/>
      <c r="D13" s="89"/>
      <c r="E13" s="52"/>
      <c r="F13" s="90"/>
      <c r="G13" s="90"/>
      <c r="H13" s="90"/>
      <c r="I13" s="90"/>
      <c r="J13" s="104"/>
      <c r="K13" s="90"/>
      <c r="L13" s="89"/>
    </row>
    <row r="14" spans="1:12" ht="25.5">
      <c r="A14" s="106" t="s">
        <v>209</v>
      </c>
      <c r="B14" s="107" t="s">
        <v>219</v>
      </c>
      <c r="C14" s="52"/>
      <c r="D14" s="52"/>
      <c r="E14" s="52"/>
      <c r="F14" s="52"/>
      <c r="G14" s="52"/>
      <c r="H14" s="52"/>
      <c r="I14" s="52"/>
      <c r="J14" s="52"/>
      <c r="K14" s="52"/>
      <c r="L14" s="52"/>
    </row>
    <row r="15" spans="1:12" ht="25.5">
      <c r="A15" s="106" t="s">
        <v>211</v>
      </c>
      <c r="B15" s="107" t="s">
        <v>212</v>
      </c>
      <c r="C15" s="52"/>
      <c r="D15" s="52"/>
      <c r="E15" s="52"/>
      <c r="F15" s="52"/>
      <c r="G15" s="52"/>
      <c r="H15" s="52"/>
      <c r="I15" s="52"/>
      <c r="J15" s="52"/>
      <c r="K15" s="52"/>
      <c r="L15" s="52"/>
    </row>
    <row r="16" spans="1:12" ht="25.5">
      <c r="A16" s="106" t="s">
        <v>216</v>
      </c>
      <c r="B16" s="107" t="s">
        <v>217</v>
      </c>
      <c r="C16" s="52"/>
      <c r="D16" s="52"/>
      <c r="E16" s="52"/>
      <c r="F16" s="52"/>
      <c r="G16" s="52"/>
      <c r="H16" s="52"/>
      <c r="I16" s="52"/>
      <c r="J16" s="52"/>
      <c r="K16" s="52"/>
      <c r="L16" s="52"/>
    </row>
    <row r="17" spans="1:12" ht="12.75">
      <c r="A17" s="106" t="s">
        <v>221</v>
      </c>
      <c r="B17" s="107" t="s">
        <v>222</v>
      </c>
      <c r="C17" s="52"/>
      <c r="D17" s="52"/>
      <c r="E17" s="52"/>
      <c r="F17" s="52"/>
      <c r="G17" s="52"/>
      <c r="H17" s="52"/>
      <c r="I17" s="52"/>
      <c r="J17" s="52"/>
      <c r="K17" s="52"/>
      <c r="L17" s="52"/>
    </row>
    <row r="18" spans="1:12" ht="25.5">
      <c r="A18" s="106" t="s">
        <v>223</v>
      </c>
      <c r="B18" s="107" t="s">
        <v>224</v>
      </c>
      <c r="C18" s="52"/>
      <c r="D18" s="52"/>
      <c r="E18" s="52"/>
      <c r="F18" s="52"/>
      <c r="G18" s="52"/>
      <c r="H18" s="52"/>
      <c r="I18" s="52"/>
      <c r="J18" s="52"/>
      <c r="K18" s="52"/>
      <c r="L18" s="52"/>
    </row>
    <row r="19" spans="1:12" ht="25.5">
      <c r="A19" s="106" t="s">
        <v>231</v>
      </c>
      <c r="B19" s="107" t="s">
        <v>232</v>
      </c>
      <c r="C19" s="52"/>
      <c r="D19" s="52"/>
      <c r="E19" s="52"/>
      <c r="F19" s="52"/>
      <c r="G19" s="52"/>
      <c r="H19" s="52"/>
      <c r="I19" s="52"/>
      <c r="J19" s="52"/>
      <c r="K19" s="52"/>
      <c r="L19" s="52"/>
    </row>
    <row r="20" spans="1:12" ht="12.75">
      <c r="A20" s="106" t="s">
        <v>235</v>
      </c>
      <c r="B20" s="107" t="s">
        <v>255</v>
      </c>
      <c r="C20" s="52"/>
      <c r="D20" s="52"/>
      <c r="E20" s="52"/>
      <c r="F20" s="52"/>
      <c r="G20" s="52"/>
      <c r="H20" s="52"/>
      <c r="I20" s="52"/>
      <c r="J20" s="52"/>
      <c r="K20" s="52"/>
      <c r="L20" s="52"/>
    </row>
    <row r="21" spans="1:12" ht="63.75">
      <c r="A21" s="106" t="s">
        <v>236</v>
      </c>
      <c r="B21" s="107" t="s">
        <v>240</v>
      </c>
      <c r="C21" s="52"/>
      <c r="D21" s="52"/>
      <c r="E21" s="52"/>
      <c r="F21" s="52"/>
      <c r="G21" s="52"/>
      <c r="H21" s="52"/>
      <c r="I21" s="52"/>
      <c r="J21" s="52"/>
      <c r="K21" s="52"/>
      <c r="L21" s="52"/>
    </row>
    <row r="22" spans="1:12" ht="12.75">
      <c r="A22" s="106" t="s">
        <v>237</v>
      </c>
      <c r="B22" s="107" t="s">
        <v>254</v>
      </c>
      <c r="C22" s="52"/>
      <c r="D22" s="52"/>
      <c r="E22" s="52"/>
      <c r="F22" s="52"/>
      <c r="G22" s="52"/>
      <c r="H22" s="52"/>
      <c r="I22" s="52"/>
      <c r="J22" s="52"/>
      <c r="K22" s="52"/>
      <c r="L22" s="52"/>
    </row>
    <row r="23" spans="1:12" ht="25.5">
      <c r="A23" s="106" t="s">
        <v>238</v>
      </c>
      <c r="B23" s="107" t="s">
        <v>241</v>
      </c>
      <c r="C23" s="52"/>
      <c r="D23" s="52"/>
      <c r="E23" s="52"/>
      <c r="F23" s="52"/>
      <c r="G23" s="52"/>
      <c r="H23" s="52"/>
      <c r="I23" s="52"/>
      <c r="J23" s="52"/>
      <c r="K23" s="52"/>
      <c r="L23" s="52"/>
    </row>
    <row r="24" spans="1:12" ht="38.25">
      <c r="A24" s="106" t="s">
        <v>239</v>
      </c>
      <c r="B24" s="107" t="s">
        <v>242</v>
      </c>
      <c r="C24" s="52"/>
      <c r="D24" s="52"/>
      <c r="E24" s="52"/>
      <c r="F24" s="52"/>
      <c r="G24" s="52"/>
      <c r="H24" s="52"/>
      <c r="I24" s="52"/>
      <c r="J24" s="52"/>
      <c r="K24" s="52"/>
      <c r="L24" s="52"/>
    </row>
    <row r="25" spans="1:13" ht="63.75">
      <c r="A25" s="106" t="s">
        <v>248</v>
      </c>
      <c r="B25" s="107" t="s">
        <v>249</v>
      </c>
      <c r="C25" s="52"/>
      <c r="D25" s="52"/>
      <c r="E25" s="52"/>
      <c r="F25" s="52"/>
      <c r="G25" s="52"/>
      <c r="H25" s="52"/>
      <c r="I25" s="52"/>
      <c r="J25" s="52"/>
      <c r="K25" s="52"/>
      <c r="L25" s="52"/>
      <c r="M25" s="52"/>
    </row>
    <row r="26" spans="1:13" ht="47.25">
      <c r="A26" s="108" t="s">
        <v>252</v>
      </c>
      <c r="B26" s="109" t="s">
        <v>253</v>
      </c>
      <c r="C26" s="105"/>
      <c r="D26" s="105"/>
      <c r="E26" s="105"/>
      <c r="F26" s="105"/>
      <c r="G26" s="105"/>
      <c r="H26" s="105"/>
      <c r="I26" s="105"/>
      <c r="J26" s="105"/>
      <c r="K26" s="105"/>
      <c r="L26" s="105"/>
      <c r="M26" s="105"/>
    </row>
  </sheetData>
  <printOptions/>
  <pageMargins left="0.75" right="0.75" top="1" bottom="1" header="0.5" footer="0.5"/>
  <pageSetup horizontalDpi="600" verticalDpi="600" orientation="portrait" r:id="rId1"/>
  <headerFooter alignWithMargins="0">
    <oddHeader>&amp;LWake County
Fire/EMS Capital Facilities and Equipment Study&amp;RInsert Page &amp;P of  2 for Chapter VI,  Cost Allocation Models</oddHeader>
    <oddFooter>&amp;LTriData
&amp;8A division of System Planning Corporation&amp;RNovember 2003</oddFooter>
  </headerFooter>
</worksheet>
</file>

<file path=xl/worksheets/sheet4.xml><?xml version="1.0" encoding="utf-8"?>
<worksheet xmlns="http://schemas.openxmlformats.org/spreadsheetml/2006/main" xmlns:r="http://schemas.openxmlformats.org/officeDocument/2006/relationships">
  <dimension ref="A1:J23"/>
  <sheetViews>
    <sheetView workbookViewId="0" topLeftCell="A1">
      <selection activeCell="F4" sqref="F4"/>
    </sheetView>
  </sheetViews>
  <sheetFormatPr defaultColWidth="9.140625" defaultRowHeight="12.75"/>
  <cols>
    <col min="1" max="1" width="12.8515625" style="0" bestFit="1" customWidth="1"/>
    <col min="2" max="2" width="12.421875" style="0" bestFit="1" customWidth="1"/>
    <col min="3" max="3" width="13.28125" style="0" customWidth="1"/>
    <col min="10" max="10" width="3.140625" style="0" customWidth="1"/>
  </cols>
  <sheetData>
    <row r="1" spans="1:9" ht="13.5" thickBot="1">
      <c r="A1" s="39" t="s">
        <v>29</v>
      </c>
      <c r="B1" s="39" t="s">
        <v>98</v>
      </c>
      <c r="C1" s="39" t="s">
        <v>99</v>
      </c>
      <c r="D1" s="41"/>
      <c r="I1" s="30" t="s">
        <v>60</v>
      </c>
    </row>
    <row r="2" spans="1:9" ht="12.75">
      <c r="A2" s="27" t="s">
        <v>149</v>
      </c>
      <c r="B2" s="28">
        <v>593010</v>
      </c>
      <c r="C2" s="29">
        <v>3</v>
      </c>
      <c r="I2" s="30" t="s">
        <v>59</v>
      </c>
    </row>
    <row r="3" spans="1:9" ht="12.75">
      <c r="A3" s="27" t="s">
        <v>150</v>
      </c>
      <c r="B3" s="28">
        <v>731149</v>
      </c>
      <c r="C3" s="29">
        <v>3</v>
      </c>
      <c r="I3" s="30"/>
    </row>
    <row r="4" spans="1:9" ht="12.75">
      <c r="A4" s="27" t="s">
        <v>101</v>
      </c>
      <c r="B4" s="28">
        <v>627330</v>
      </c>
      <c r="C4" s="29">
        <v>1.5</v>
      </c>
      <c r="I4" s="30" t="s">
        <v>56</v>
      </c>
    </row>
    <row r="5" spans="1:9" ht="12.75">
      <c r="A5" s="27" t="s">
        <v>213</v>
      </c>
      <c r="B5" s="83">
        <f>1924898.8*0.23</f>
        <v>442726.72400000005</v>
      </c>
      <c r="C5" s="29"/>
      <c r="I5" s="30"/>
    </row>
    <row r="6" spans="1:9" ht="12.75">
      <c r="A6" s="27" t="s">
        <v>140</v>
      </c>
      <c r="B6" s="28">
        <f>2578305*0.77</f>
        <v>1985294.85</v>
      </c>
      <c r="C6" s="29">
        <v>7.5</v>
      </c>
      <c r="I6" s="30" t="s">
        <v>57</v>
      </c>
    </row>
    <row r="7" spans="1:9" ht="12.75">
      <c r="A7" s="27" t="s">
        <v>137</v>
      </c>
      <c r="B7" s="82">
        <f>1924898.8*0.77</f>
        <v>1482172.0760000001</v>
      </c>
      <c r="C7" s="29">
        <v>4.5</v>
      </c>
      <c r="I7" s="30" t="s">
        <v>61</v>
      </c>
    </row>
    <row r="8" spans="1:9" ht="12.75">
      <c r="A8" s="27" t="s">
        <v>138</v>
      </c>
      <c r="B8" s="28">
        <v>2252154</v>
      </c>
      <c r="C8" s="29">
        <v>5.5</v>
      </c>
      <c r="I8" s="30"/>
    </row>
    <row r="9" spans="1:9" ht="12.75">
      <c r="A9" s="27" t="s">
        <v>139</v>
      </c>
      <c r="B9" s="28">
        <v>1424020</v>
      </c>
      <c r="C9" s="29">
        <v>3.5</v>
      </c>
      <c r="I9" s="30"/>
    </row>
    <row r="10" spans="1:9" ht="12.75">
      <c r="A10" s="27"/>
      <c r="B10" s="34"/>
      <c r="C10" s="35"/>
      <c r="I10" s="30"/>
    </row>
    <row r="11" spans="1:9" ht="13.5" thickBot="1">
      <c r="A11" s="39" t="s">
        <v>132</v>
      </c>
      <c r="B11" s="40"/>
      <c r="I11" s="18"/>
    </row>
    <row r="12" spans="1:10" ht="12.75">
      <c r="A12" s="27" t="s">
        <v>143</v>
      </c>
      <c r="B12" s="28">
        <v>54900</v>
      </c>
      <c r="E12" s="36" t="s">
        <v>131</v>
      </c>
      <c r="F12" s="37"/>
      <c r="G12" s="37"/>
      <c r="H12" s="37"/>
      <c r="I12" s="37"/>
      <c r="J12" s="37"/>
    </row>
    <row r="13" spans="1:10" ht="12.75">
      <c r="A13" s="27" t="s">
        <v>144</v>
      </c>
      <c r="B13" s="28">
        <v>63300</v>
      </c>
      <c r="E13" s="38" t="s">
        <v>129</v>
      </c>
      <c r="F13" s="37"/>
      <c r="G13" s="37"/>
      <c r="H13" s="37"/>
      <c r="I13" s="37"/>
      <c r="J13" s="37"/>
    </row>
    <row r="14" spans="1:10" ht="12.75">
      <c r="A14" s="27" t="s">
        <v>145</v>
      </c>
      <c r="B14" s="28">
        <v>33100</v>
      </c>
      <c r="E14" s="38" t="s">
        <v>130</v>
      </c>
      <c r="F14" s="37"/>
      <c r="G14" s="37"/>
      <c r="H14" s="37"/>
      <c r="I14" s="37"/>
      <c r="J14" s="37"/>
    </row>
    <row r="15" spans="1:2" ht="12.75">
      <c r="A15" s="27" t="s">
        <v>142</v>
      </c>
      <c r="B15" s="28">
        <v>57800</v>
      </c>
    </row>
    <row r="16" spans="1:2" ht="12.75">
      <c r="A16" s="27"/>
      <c r="B16" s="34"/>
    </row>
    <row r="17" spans="1:2" ht="13.5" thickBot="1">
      <c r="A17" s="39" t="s">
        <v>133</v>
      </c>
      <c r="B17" s="40"/>
    </row>
    <row r="18" spans="1:2" ht="12.75">
      <c r="A18" s="27" t="s">
        <v>126</v>
      </c>
      <c r="B18" s="31">
        <v>2004</v>
      </c>
    </row>
    <row r="19" spans="1:2" ht="12.75">
      <c r="A19" s="27" t="s">
        <v>121</v>
      </c>
      <c r="B19" s="32">
        <v>0</v>
      </c>
    </row>
    <row r="20" spans="1:2" ht="12.75">
      <c r="A20" s="27" t="s">
        <v>122</v>
      </c>
      <c r="B20" s="33">
        <v>0</v>
      </c>
    </row>
    <row r="21" spans="1:2" ht="12.75">
      <c r="A21" s="27" t="s">
        <v>123</v>
      </c>
      <c r="B21" s="33">
        <v>0</v>
      </c>
    </row>
    <row r="22" spans="1:2" ht="12.75">
      <c r="A22" s="27" t="s">
        <v>124</v>
      </c>
      <c r="B22" s="33">
        <v>0</v>
      </c>
    </row>
    <row r="23" spans="1:2" ht="12.75">
      <c r="A23" s="27" t="s">
        <v>125</v>
      </c>
      <c r="B23" s="33">
        <v>0</v>
      </c>
    </row>
  </sheetData>
  <sheetProtection sheet="1" objects="1" scenarios="1" selectLockedCell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AI85"/>
  <sheetViews>
    <sheetView view="pageBreakPreview" zoomScale="60" workbookViewId="0" topLeftCell="A1">
      <pane xSplit="4" ySplit="2" topLeftCell="E23" activePane="bottomRight" state="frozen"/>
      <selection pane="topLeft" activeCell="A1" sqref="A1"/>
      <selection pane="topRight" activeCell="E1" sqref="E1"/>
      <selection pane="bottomLeft" activeCell="A3" sqref="A3"/>
      <selection pane="bottomRight" activeCell="B38" sqref="B38"/>
    </sheetView>
  </sheetViews>
  <sheetFormatPr defaultColWidth="9.140625" defaultRowHeight="12.75"/>
  <cols>
    <col min="1" max="1" width="4.28125" style="0" bestFit="1" customWidth="1"/>
    <col min="2" max="2" width="17.8515625" style="0" bestFit="1" customWidth="1"/>
    <col min="3" max="3" width="18.421875" style="0" customWidth="1"/>
    <col min="4" max="4" width="14.421875" style="0" customWidth="1"/>
    <col min="5" max="5" width="4.8515625" style="47" customWidth="1"/>
    <col min="6" max="6" width="8.00390625" style="0" bestFit="1" customWidth="1"/>
    <col min="7" max="7" width="5.8515625" style="47" customWidth="1"/>
    <col min="8" max="8" width="9.00390625" style="0" customWidth="1"/>
    <col min="9" max="9" width="4.28125" style="47" customWidth="1"/>
    <col min="10" max="10" width="8.28125" style="0" bestFit="1" customWidth="1"/>
    <col min="11" max="11" width="16.421875" style="0" customWidth="1"/>
    <col min="12" max="12" width="13.57421875" style="47" customWidth="1"/>
    <col min="13" max="13" width="9.00390625" style="0" customWidth="1"/>
    <col min="14" max="14" width="2.00390625" style="47" customWidth="1"/>
    <col min="15" max="15" width="10.28125" style="0" customWidth="1"/>
    <col min="16" max="16" width="2.00390625" style="47" customWidth="1"/>
    <col min="17" max="17" width="8.7109375" style="0" bestFit="1" customWidth="1"/>
    <col min="18" max="18" width="15.8515625" style="47" customWidth="1"/>
    <col min="19" max="19" width="2.00390625" style="47" customWidth="1"/>
    <col min="20" max="21" width="15.7109375" style="0" customWidth="1"/>
    <col min="22" max="22" width="13.8515625" style="0" customWidth="1"/>
    <col min="23" max="23" width="2.00390625" style="47" customWidth="1"/>
    <col min="24" max="24" width="9.8515625" style="0" bestFit="1" customWidth="1"/>
    <col min="25" max="26" width="9.8515625" style="0" customWidth="1"/>
    <col min="27" max="27" width="2.00390625" style="47" customWidth="1"/>
    <col min="28" max="28" width="14.57421875" style="0" customWidth="1"/>
    <col min="29" max="29" width="2.00390625" style="47" customWidth="1"/>
    <col min="30" max="30" width="8.7109375" style="0" bestFit="1" customWidth="1"/>
    <col min="31" max="31" width="2.00390625" style="47" customWidth="1"/>
    <col min="32" max="32" width="11.00390625" style="0" customWidth="1"/>
    <col min="33" max="33" width="11.28125" style="0" customWidth="1"/>
    <col min="34" max="34" width="10.28125" style="0" customWidth="1"/>
    <col min="35" max="35" width="9.28125" style="0" bestFit="1" customWidth="1"/>
  </cols>
  <sheetData>
    <row r="1" spans="1:33" ht="25.5">
      <c r="A1" s="116" t="s">
        <v>134</v>
      </c>
      <c r="B1" s="116"/>
      <c r="C1" s="1" t="s">
        <v>112</v>
      </c>
      <c r="D1" s="1" t="s">
        <v>113</v>
      </c>
      <c r="E1" s="42"/>
      <c r="F1" s="1" t="s">
        <v>104</v>
      </c>
      <c r="G1" s="42"/>
      <c r="H1" s="1" t="s">
        <v>115</v>
      </c>
      <c r="I1" s="42"/>
      <c r="J1" s="1" t="s">
        <v>116</v>
      </c>
      <c r="K1" s="1" t="s">
        <v>180</v>
      </c>
      <c r="L1" s="42" t="s">
        <v>183</v>
      </c>
      <c r="M1" s="1" t="s">
        <v>106</v>
      </c>
      <c r="N1" s="42"/>
      <c r="O1" s="1" t="s">
        <v>117</v>
      </c>
      <c r="P1" s="42"/>
      <c r="Q1" s="1" t="s">
        <v>107</v>
      </c>
      <c r="R1" s="42" t="s">
        <v>180</v>
      </c>
      <c r="S1" s="42"/>
      <c r="T1" s="1" t="s">
        <v>118</v>
      </c>
      <c r="U1" s="1"/>
      <c r="V1" s="1"/>
      <c r="W1" s="42"/>
      <c r="X1" s="1" t="s">
        <v>108</v>
      </c>
      <c r="Y1" s="1"/>
      <c r="Z1" s="1"/>
      <c r="AA1" s="42"/>
      <c r="AB1" s="1" t="s">
        <v>119</v>
      </c>
      <c r="AC1" s="42"/>
      <c r="AD1" s="1" t="s">
        <v>109</v>
      </c>
      <c r="AE1" s="42"/>
      <c r="AF1" s="1" t="s">
        <v>120</v>
      </c>
      <c r="AG1" s="1"/>
    </row>
    <row r="2" spans="1:33" ht="12.75">
      <c r="A2" s="1" t="s">
        <v>68</v>
      </c>
      <c r="B2" s="1" t="s">
        <v>0</v>
      </c>
      <c r="C2" s="15" t="s">
        <v>103</v>
      </c>
      <c r="D2" s="20" t="s">
        <v>114</v>
      </c>
      <c r="E2" s="43"/>
      <c r="F2" s="1">
        <v>1</v>
      </c>
      <c r="G2" s="42"/>
      <c r="H2" s="1">
        <v>2</v>
      </c>
      <c r="I2" s="42"/>
      <c r="J2" s="1">
        <v>3</v>
      </c>
      <c r="K2" s="1" t="s">
        <v>181</v>
      </c>
      <c r="L2" s="42" t="s">
        <v>182</v>
      </c>
      <c r="M2" s="1">
        <v>4</v>
      </c>
      <c r="N2" s="42"/>
      <c r="O2" s="1">
        <v>5</v>
      </c>
      <c r="P2" s="42"/>
      <c r="Q2" s="1">
        <v>6</v>
      </c>
      <c r="R2" s="69" t="s">
        <v>184</v>
      </c>
      <c r="S2" s="42"/>
      <c r="T2" s="1" t="s">
        <v>105</v>
      </c>
      <c r="U2" s="1"/>
      <c r="V2" s="1"/>
      <c r="W2" s="42"/>
      <c r="X2" s="1">
        <v>7</v>
      </c>
      <c r="Y2" s="1"/>
      <c r="Z2" s="1"/>
      <c r="AA2" s="42"/>
      <c r="AB2" s="1">
        <v>8</v>
      </c>
      <c r="AC2" s="42"/>
      <c r="AD2" s="1">
        <v>9</v>
      </c>
      <c r="AE2" s="42"/>
      <c r="AF2" s="1">
        <v>10</v>
      </c>
      <c r="AG2" s="1"/>
    </row>
    <row r="3" spans="1:32" ht="12.75">
      <c r="A3">
        <v>4</v>
      </c>
      <c r="B3" t="s">
        <v>18</v>
      </c>
      <c r="C3" s="14">
        <f>SUM(F3:AF3)</f>
        <v>2824561</v>
      </c>
      <c r="D3" s="19">
        <f aca="true" t="shared" si="0" ref="D3:D21">IF(E3="X",F3,0)+IF(G3="X",H3,0)+IF(I3="X",J3,0)+IF(L3="X",M3,0)+IF(N3="X",O3,0)+IF(P3="X",Q3,0)+IF(R3="X",T3,0)+IF(W3="X",X3,0)+IF(AA3="X",AB3,0)+IF(AC3="X",AD3,0)+IF(AE3="X",AF3,0)</f>
        <v>93358</v>
      </c>
      <c r="E3" s="44" t="s">
        <v>128</v>
      </c>
      <c r="F3">
        <v>4688</v>
      </c>
      <c r="G3" s="47" t="s">
        <v>128</v>
      </c>
      <c r="H3">
        <v>88670</v>
      </c>
      <c r="J3">
        <v>22729</v>
      </c>
      <c r="K3" s="70">
        <f>F3</f>
        <v>4688</v>
      </c>
      <c r="L3" s="47">
        <f>H3+J3</f>
        <v>111399</v>
      </c>
      <c r="O3">
        <v>33021</v>
      </c>
      <c r="Q3">
        <v>1193</v>
      </c>
      <c r="R3" s="47">
        <f>L3+M3+O3+Q3</f>
        <v>145613</v>
      </c>
      <c r="T3">
        <v>373794</v>
      </c>
      <c r="U3">
        <v>373794</v>
      </c>
      <c r="X3">
        <v>126005</v>
      </c>
      <c r="Y3">
        <v>126005</v>
      </c>
      <c r="AB3">
        <v>1410804</v>
      </c>
      <c r="AD3" s="55">
        <v>492</v>
      </c>
      <c r="AF3">
        <v>1666</v>
      </c>
    </row>
    <row r="4" spans="1:32" ht="12.75">
      <c r="A4">
        <v>40</v>
      </c>
      <c r="B4" t="s">
        <v>19</v>
      </c>
      <c r="C4" s="14">
        <f aca="true" t="shared" si="1" ref="C4:C52">SUM(F4:AF4)</f>
        <v>1458765</v>
      </c>
      <c r="D4" s="19">
        <f t="shared" si="0"/>
        <v>3515</v>
      </c>
      <c r="E4" s="44" t="s">
        <v>128</v>
      </c>
      <c r="G4" s="47" t="s">
        <v>128</v>
      </c>
      <c r="H4">
        <v>3515</v>
      </c>
      <c r="J4">
        <v>12359</v>
      </c>
      <c r="K4" s="70">
        <f>H4+F4</f>
        <v>3515</v>
      </c>
      <c r="L4" s="47">
        <f>J4</f>
        <v>12359</v>
      </c>
      <c r="O4">
        <v>894</v>
      </c>
      <c r="R4" s="47">
        <f aca="true" t="shared" si="2" ref="R4:R52">L4+M4+O4+Q4</f>
        <v>13253</v>
      </c>
      <c r="T4">
        <v>446063</v>
      </c>
      <c r="U4">
        <v>446063</v>
      </c>
      <c r="X4">
        <v>85235</v>
      </c>
      <c r="Y4">
        <v>85235</v>
      </c>
      <c r="AB4">
        <v>341342</v>
      </c>
      <c r="AD4" s="55">
        <v>5533</v>
      </c>
      <c r="AF4">
        <v>3399</v>
      </c>
    </row>
    <row r="5" spans="1:30" ht="12.75">
      <c r="A5" s="8">
        <v>44</v>
      </c>
      <c r="B5" t="s">
        <v>20</v>
      </c>
      <c r="C5" s="14">
        <f t="shared" si="1"/>
        <v>0</v>
      </c>
      <c r="D5" s="19">
        <f t="shared" si="0"/>
        <v>0</v>
      </c>
      <c r="E5" s="44" t="s">
        <v>128</v>
      </c>
      <c r="G5" s="47" t="s">
        <v>128</v>
      </c>
      <c r="K5" s="70">
        <f>J5+H5+F5</f>
        <v>0</v>
      </c>
      <c r="R5" s="47">
        <f t="shared" si="2"/>
        <v>0</v>
      </c>
      <c r="AD5" s="55"/>
    </row>
    <row r="6" spans="1:34" s="25" customFormat="1" ht="12.75">
      <c r="A6" s="21"/>
      <c r="B6" s="13" t="s">
        <v>58</v>
      </c>
      <c r="C6" s="16"/>
      <c r="D6" s="17">
        <f t="shared" si="0"/>
        <v>0</v>
      </c>
      <c r="E6" s="45"/>
      <c r="F6" s="13"/>
      <c r="G6" s="48"/>
      <c r="H6" s="13"/>
      <c r="I6" s="48"/>
      <c r="J6" s="13"/>
      <c r="K6" s="70">
        <f>J6+H6+F6</f>
        <v>0</v>
      </c>
      <c r="L6" s="48"/>
      <c r="M6" s="13"/>
      <c r="N6" s="48"/>
      <c r="O6" s="13"/>
      <c r="P6" s="48"/>
      <c r="Q6" s="13"/>
      <c r="R6" s="47">
        <f t="shared" si="2"/>
        <v>0</v>
      </c>
      <c r="S6" s="48"/>
      <c r="T6" s="13"/>
      <c r="U6" s="13"/>
      <c r="V6" s="13"/>
      <c r="W6" s="48"/>
      <c r="X6" s="13"/>
      <c r="Y6" s="13"/>
      <c r="Z6" s="13"/>
      <c r="AA6" s="48"/>
      <c r="AB6" s="13"/>
      <c r="AC6" s="48"/>
      <c r="AD6" s="56"/>
      <c r="AE6" s="48"/>
      <c r="AF6" s="13"/>
      <c r="AG6" s="13"/>
      <c r="AH6"/>
    </row>
    <row r="7" spans="1:35" ht="12.75">
      <c r="A7">
        <v>25</v>
      </c>
      <c r="B7" t="s">
        <v>21</v>
      </c>
      <c r="C7" s="14">
        <f t="shared" si="1"/>
        <v>1645950</v>
      </c>
      <c r="D7" s="19">
        <f t="shared" si="0"/>
        <v>870317</v>
      </c>
      <c r="E7" s="44" t="s">
        <v>128</v>
      </c>
      <c r="F7">
        <v>13370</v>
      </c>
      <c r="G7" s="44" t="s">
        <v>128</v>
      </c>
      <c r="H7">
        <v>56947</v>
      </c>
      <c r="I7" s="44"/>
      <c r="J7">
        <v>18041</v>
      </c>
      <c r="K7" s="70">
        <f>F7</f>
        <v>13370</v>
      </c>
      <c r="L7" s="44">
        <f>H7+J7</f>
        <v>74988</v>
      </c>
      <c r="M7">
        <v>42617</v>
      </c>
      <c r="N7" s="44"/>
      <c r="O7">
        <v>28967</v>
      </c>
      <c r="P7" s="44"/>
      <c r="Q7">
        <v>33256</v>
      </c>
      <c r="R7" s="47">
        <f t="shared" si="2"/>
        <v>179828</v>
      </c>
      <c r="S7" s="44"/>
      <c r="T7">
        <v>170958</v>
      </c>
      <c r="U7">
        <v>170958</v>
      </c>
      <c r="W7" s="44"/>
      <c r="AA7" s="44" t="s">
        <v>128</v>
      </c>
      <c r="AB7">
        <v>800000</v>
      </c>
      <c r="AC7" s="44"/>
      <c r="AD7" s="55">
        <v>27632</v>
      </c>
      <c r="AE7" s="44"/>
      <c r="AF7">
        <v>15018</v>
      </c>
      <c r="AI7">
        <v>469038</v>
      </c>
    </row>
    <row r="8" spans="1:32" ht="12.75">
      <c r="A8">
        <v>36</v>
      </c>
      <c r="B8" t="s">
        <v>22</v>
      </c>
      <c r="C8" s="14">
        <f t="shared" si="1"/>
        <v>548886</v>
      </c>
      <c r="D8" s="19">
        <f t="shared" si="0"/>
        <v>35655</v>
      </c>
      <c r="E8" s="44" t="s">
        <v>128</v>
      </c>
      <c r="G8" s="44" t="s">
        <v>128</v>
      </c>
      <c r="H8">
        <v>35655</v>
      </c>
      <c r="I8" s="44"/>
      <c r="J8">
        <v>5398</v>
      </c>
      <c r="K8" s="70">
        <f>H8+F8</f>
        <v>35655</v>
      </c>
      <c r="L8" s="44">
        <f>J8</f>
        <v>5398</v>
      </c>
      <c r="N8" s="44"/>
      <c r="O8">
        <v>24302</v>
      </c>
      <c r="P8" s="44"/>
      <c r="Q8">
        <v>13545</v>
      </c>
      <c r="R8" s="47">
        <f t="shared" si="2"/>
        <v>43245</v>
      </c>
      <c r="S8" s="44"/>
      <c r="W8" s="44"/>
      <c r="AA8" s="44"/>
      <c r="AB8">
        <v>366340</v>
      </c>
      <c r="AC8" s="44"/>
      <c r="AD8" s="55">
        <v>17192</v>
      </c>
      <c r="AE8" s="44"/>
      <c r="AF8">
        <v>2156</v>
      </c>
    </row>
    <row r="9" spans="1:32" ht="12.75">
      <c r="A9">
        <v>12</v>
      </c>
      <c r="B9" t="s">
        <v>23</v>
      </c>
      <c r="C9" s="14">
        <f>SUM(F9:AF9)</f>
        <v>540777</v>
      </c>
      <c r="D9" s="19">
        <f t="shared" si="0"/>
        <v>0</v>
      </c>
      <c r="E9" s="44" t="s">
        <v>127</v>
      </c>
      <c r="F9">
        <v>852</v>
      </c>
      <c r="G9" s="44" t="s">
        <v>127</v>
      </c>
      <c r="H9">
        <v>34986</v>
      </c>
      <c r="I9" s="44"/>
      <c r="J9">
        <v>7245</v>
      </c>
      <c r="K9" s="70">
        <v>0</v>
      </c>
      <c r="L9" s="44">
        <f>F9+H9+J9</f>
        <v>43083</v>
      </c>
      <c r="M9">
        <v>1705</v>
      </c>
      <c r="N9" s="44"/>
      <c r="O9">
        <v>79726</v>
      </c>
      <c r="P9" s="44"/>
      <c r="Q9">
        <v>38782</v>
      </c>
      <c r="R9" s="47">
        <f t="shared" si="2"/>
        <v>163296</v>
      </c>
      <c r="S9" s="44"/>
      <c r="W9" s="44"/>
      <c r="X9">
        <v>90917</v>
      </c>
      <c r="AA9" s="44"/>
      <c r="AC9" s="44"/>
      <c r="AD9" s="55">
        <v>46621</v>
      </c>
      <c r="AE9" s="44"/>
      <c r="AF9">
        <v>33564</v>
      </c>
    </row>
    <row r="10" spans="1:34" s="25" customFormat="1" ht="12.75">
      <c r="A10" s="13"/>
      <c r="B10" s="13" t="s">
        <v>67</v>
      </c>
      <c r="C10" s="16"/>
      <c r="D10" s="17">
        <f t="shared" si="0"/>
        <v>0</v>
      </c>
      <c r="E10" s="45"/>
      <c r="F10" s="13"/>
      <c r="G10" s="48"/>
      <c r="H10" s="13"/>
      <c r="I10" s="48"/>
      <c r="J10" s="13"/>
      <c r="K10" s="70">
        <f>J10+H10+F10</f>
        <v>0</v>
      </c>
      <c r="L10" s="48"/>
      <c r="M10" s="13"/>
      <c r="N10" s="48"/>
      <c r="O10" s="13"/>
      <c r="P10" s="48"/>
      <c r="Q10" s="13"/>
      <c r="R10" s="47">
        <f t="shared" si="2"/>
        <v>0</v>
      </c>
      <c r="S10" s="48"/>
      <c r="T10" s="13"/>
      <c r="U10" s="13"/>
      <c r="V10" s="13"/>
      <c r="W10" s="48"/>
      <c r="X10" s="13"/>
      <c r="Y10" s="13"/>
      <c r="Z10" s="13"/>
      <c r="AA10" s="48"/>
      <c r="AB10" s="13"/>
      <c r="AC10" s="48"/>
      <c r="AD10" s="56"/>
      <c r="AE10" s="48"/>
      <c r="AF10" s="13"/>
      <c r="AG10" s="13"/>
      <c r="AH10"/>
    </row>
    <row r="11" spans="1:32" ht="12.75">
      <c r="A11">
        <v>16</v>
      </c>
      <c r="B11" t="s">
        <v>24</v>
      </c>
      <c r="C11" s="14">
        <f t="shared" si="1"/>
        <v>538353</v>
      </c>
      <c r="D11" s="19">
        <f t="shared" si="0"/>
        <v>29987</v>
      </c>
      <c r="E11" s="44" t="s">
        <v>128</v>
      </c>
      <c r="F11">
        <v>1279</v>
      </c>
      <c r="G11" s="44" t="s">
        <v>128</v>
      </c>
      <c r="H11">
        <v>28708</v>
      </c>
      <c r="I11" s="44"/>
      <c r="J11">
        <v>8808</v>
      </c>
      <c r="K11" s="70">
        <f>F11+H11</f>
        <v>29987</v>
      </c>
      <c r="L11" s="44">
        <f>J11</f>
        <v>8808</v>
      </c>
      <c r="M11">
        <v>142</v>
      </c>
      <c r="N11" s="44"/>
      <c r="O11">
        <v>32497</v>
      </c>
      <c r="P11" s="44"/>
      <c r="Q11">
        <v>57907</v>
      </c>
      <c r="R11" s="47">
        <f t="shared" si="2"/>
        <v>99354</v>
      </c>
      <c r="S11" s="44"/>
      <c r="W11" s="44"/>
      <c r="AA11" s="44"/>
      <c r="AB11">
        <v>266776</v>
      </c>
      <c r="AC11" s="44"/>
      <c r="AD11" s="55">
        <v>2293</v>
      </c>
      <c r="AE11" s="44"/>
      <c r="AF11">
        <v>1794</v>
      </c>
    </row>
    <row r="12" spans="1:31" ht="12.75">
      <c r="A12">
        <v>17</v>
      </c>
      <c r="B12" t="s">
        <v>25</v>
      </c>
      <c r="C12" s="14">
        <f t="shared" si="1"/>
        <v>0</v>
      </c>
      <c r="D12" s="19">
        <f t="shared" si="0"/>
        <v>0</v>
      </c>
      <c r="E12" s="44" t="s">
        <v>128</v>
      </c>
      <c r="G12" s="44" t="s">
        <v>128</v>
      </c>
      <c r="I12" s="44"/>
      <c r="K12" s="70">
        <f>J12+H12+F12</f>
        <v>0</v>
      </c>
      <c r="L12" s="44"/>
      <c r="N12" s="44"/>
      <c r="P12" s="44"/>
      <c r="R12" s="47">
        <f t="shared" si="2"/>
        <v>0</v>
      </c>
      <c r="S12" s="44"/>
      <c r="W12" s="44"/>
      <c r="AA12" s="44"/>
      <c r="AC12" s="44"/>
      <c r="AD12" s="55"/>
      <c r="AE12" s="44"/>
    </row>
    <row r="13" spans="1:32" ht="12.75">
      <c r="A13">
        <v>38</v>
      </c>
      <c r="B13" t="s">
        <v>38</v>
      </c>
      <c r="C13" s="14">
        <f t="shared" si="1"/>
        <v>379360</v>
      </c>
      <c r="D13" s="19">
        <f t="shared" si="0"/>
        <v>2101</v>
      </c>
      <c r="E13" s="44" t="s">
        <v>128</v>
      </c>
      <c r="F13">
        <v>426</v>
      </c>
      <c r="G13" s="44" t="s">
        <v>128</v>
      </c>
      <c r="H13">
        <v>1675</v>
      </c>
      <c r="I13" s="44"/>
      <c r="J13">
        <v>23440</v>
      </c>
      <c r="K13" s="70">
        <f>F13+H13</f>
        <v>2101</v>
      </c>
      <c r="L13" s="44">
        <f>J13</f>
        <v>23440</v>
      </c>
      <c r="N13" s="44"/>
      <c r="O13">
        <v>5677</v>
      </c>
      <c r="P13" s="44"/>
      <c r="Q13">
        <v>399</v>
      </c>
      <c r="R13" s="47">
        <f t="shared" si="2"/>
        <v>29516</v>
      </c>
      <c r="S13" s="44"/>
      <c r="T13">
        <v>9944</v>
      </c>
      <c r="U13">
        <v>9944</v>
      </c>
      <c r="W13" s="44"/>
      <c r="X13">
        <v>127852</v>
      </c>
      <c r="Y13">
        <v>127852</v>
      </c>
      <c r="AA13" s="44"/>
      <c r="AB13">
        <v>6677</v>
      </c>
      <c r="AC13" s="44"/>
      <c r="AD13" s="55">
        <v>7126</v>
      </c>
      <c r="AE13" s="44"/>
      <c r="AF13">
        <v>3291</v>
      </c>
    </row>
    <row r="14" spans="1:32" ht="12.75">
      <c r="A14">
        <v>13</v>
      </c>
      <c r="B14" t="s">
        <v>39</v>
      </c>
      <c r="C14" s="14">
        <f t="shared" si="1"/>
        <v>1819841</v>
      </c>
      <c r="D14" s="19">
        <f t="shared" si="0"/>
        <v>32912</v>
      </c>
      <c r="E14" s="44" t="s">
        <v>128</v>
      </c>
      <c r="F14">
        <v>2273</v>
      </c>
      <c r="G14" s="44" t="s">
        <v>128</v>
      </c>
      <c r="H14">
        <v>30639</v>
      </c>
      <c r="I14" s="44"/>
      <c r="J14">
        <v>11578</v>
      </c>
      <c r="K14" s="70">
        <f>F14</f>
        <v>2273</v>
      </c>
      <c r="L14" s="44">
        <f>H14+J14</f>
        <v>42217</v>
      </c>
      <c r="N14" s="44"/>
      <c r="O14">
        <v>41511</v>
      </c>
      <c r="P14" s="44"/>
      <c r="Q14">
        <v>24357</v>
      </c>
      <c r="R14" s="47">
        <f t="shared" si="2"/>
        <v>108085</v>
      </c>
      <c r="S14" s="44"/>
      <c r="T14">
        <v>439038</v>
      </c>
      <c r="U14">
        <v>439038</v>
      </c>
      <c r="W14" s="44"/>
      <c r="X14">
        <v>107964</v>
      </c>
      <c r="Y14">
        <v>107964</v>
      </c>
      <c r="AA14" s="44"/>
      <c r="AB14">
        <v>357935</v>
      </c>
      <c r="AC14" s="44"/>
      <c r="AD14" s="55">
        <v>7816</v>
      </c>
      <c r="AE14" s="44"/>
      <c r="AF14">
        <v>97153</v>
      </c>
    </row>
    <row r="15" spans="1:34" s="25" customFormat="1" ht="12.75">
      <c r="A15" s="13"/>
      <c r="B15" s="13" t="s">
        <v>63</v>
      </c>
      <c r="C15" s="16"/>
      <c r="D15" s="17">
        <f t="shared" si="0"/>
        <v>0</v>
      </c>
      <c r="E15" s="45"/>
      <c r="F15" s="13"/>
      <c r="G15" s="48"/>
      <c r="H15" s="13"/>
      <c r="I15" s="48"/>
      <c r="J15" s="13"/>
      <c r="K15" s="70">
        <f>J15+H15+F15</f>
        <v>0</v>
      </c>
      <c r="L15" s="48"/>
      <c r="M15" s="13"/>
      <c r="N15" s="48"/>
      <c r="O15" s="13"/>
      <c r="P15" s="48"/>
      <c r="Q15" s="13"/>
      <c r="R15" s="47">
        <f t="shared" si="2"/>
        <v>0</v>
      </c>
      <c r="S15" s="48"/>
      <c r="T15" s="13"/>
      <c r="U15" s="13"/>
      <c r="V15" s="13"/>
      <c r="W15" s="48"/>
      <c r="X15" s="13"/>
      <c r="Y15" s="13"/>
      <c r="Z15" s="13"/>
      <c r="AA15" s="48"/>
      <c r="AB15" s="13"/>
      <c r="AC15" s="48"/>
      <c r="AD15" s="56"/>
      <c r="AE15" s="48"/>
      <c r="AF15" s="13"/>
      <c r="AG15" s="13"/>
      <c r="AH15"/>
    </row>
    <row r="16" spans="1:32" ht="12.75">
      <c r="A16">
        <v>20</v>
      </c>
      <c r="B16" t="s">
        <v>26</v>
      </c>
      <c r="C16" s="14">
        <f t="shared" si="1"/>
        <v>386971</v>
      </c>
      <c r="D16" s="19">
        <f t="shared" si="0"/>
        <v>9163</v>
      </c>
      <c r="E16" s="44" t="s">
        <v>128</v>
      </c>
      <c r="G16" s="44" t="s">
        <v>128</v>
      </c>
      <c r="H16">
        <v>9163</v>
      </c>
      <c r="I16" s="44"/>
      <c r="J16">
        <v>12785</v>
      </c>
      <c r="K16" s="70">
        <f>H16</f>
        <v>9163</v>
      </c>
      <c r="L16" s="44">
        <f>J16</f>
        <v>12785</v>
      </c>
      <c r="N16" s="44"/>
      <c r="O16">
        <v>7705</v>
      </c>
      <c r="P16" s="44"/>
      <c r="R16" s="47">
        <f t="shared" si="2"/>
        <v>20490</v>
      </c>
      <c r="S16" s="44"/>
      <c r="T16">
        <v>28412</v>
      </c>
      <c r="U16">
        <v>28412</v>
      </c>
      <c r="W16" s="44"/>
      <c r="X16">
        <v>127852</v>
      </c>
      <c r="Y16">
        <v>127852</v>
      </c>
      <c r="AA16" s="44"/>
      <c r="AC16" s="44"/>
      <c r="AD16" s="55"/>
      <c r="AE16" s="44"/>
      <c r="AF16">
        <v>2352</v>
      </c>
    </row>
    <row r="17" spans="1:32" ht="12.75">
      <c r="A17">
        <v>34</v>
      </c>
      <c r="B17" t="s">
        <v>27</v>
      </c>
      <c r="C17" s="14">
        <f t="shared" si="1"/>
        <v>1898251</v>
      </c>
      <c r="D17" s="19">
        <f t="shared" si="0"/>
        <v>34353</v>
      </c>
      <c r="E17" s="44" t="s">
        <v>128</v>
      </c>
      <c r="F17">
        <v>1705</v>
      </c>
      <c r="G17" s="44" t="s">
        <v>128</v>
      </c>
      <c r="H17">
        <v>32648</v>
      </c>
      <c r="I17" s="44"/>
      <c r="J17">
        <v>6393</v>
      </c>
      <c r="K17" s="70">
        <f>F17+H17</f>
        <v>34353</v>
      </c>
      <c r="L17" s="44">
        <f>J17</f>
        <v>6393</v>
      </c>
      <c r="N17" s="44"/>
      <c r="O17">
        <v>14388</v>
      </c>
      <c r="P17" s="44"/>
      <c r="Q17">
        <v>5650</v>
      </c>
      <c r="R17" s="47">
        <f t="shared" si="2"/>
        <v>26431</v>
      </c>
      <c r="S17" s="44"/>
      <c r="T17">
        <v>512493</v>
      </c>
      <c r="U17">
        <v>512493</v>
      </c>
      <c r="W17" s="44"/>
      <c r="X17">
        <v>34094</v>
      </c>
      <c r="Y17">
        <v>34094</v>
      </c>
      <c r="AA17" s="44"/>
      <c r="AB17">
        <v>594914</v>
      </c>
      <c r="AC17" s="44"/>
      <c r="AD17" s="55">
        <v>3033</v>
      </c>
      <c r="AE17" s="44"/>
      <c r="AF17">
        <v>79169</v>
      </c>
    </row>
    <row r="18" spans="3:31" ht="12.75">
      <c r="C18" s="14"/>
      <c r="D18" s="19"/>
      <c r="E18" s="44"/>
      <c r="G18" s="44"/>
      <c r="I18" s="44"/>
      <c r="K18" s="70"/>
      <c r="L18" s="44"/>
      <c r="N18" s="44"/>
      <c r="P18" s="44"/>
      <c r="S18" s="44"/>
      <c r="W18" s="44"/>
      <c r="AA18" s="44"/>
      <c r="AC18" s="44"/>
      <c r="AD18" s="55"/>
      <c r="AE18" s="44"/>
    </row>
    <row r="19" spans="1:32" ht="12.75">
      <c r="A19">
        <v>21</v>
      </c>
      <c r="B19" t="s">
        <v>28</v>
      </c>
      <c r="C19" s="14">
        <f t="shared" si="1"/>
        <v>564242</v>
      </c>
      <c r="D19" s="19">
        <f t="shared" si="0"/>
        <v>8913</v>
      </c>
      <c r="E19" s="44" t="s">
        <v>128</v>
      </c>
      <c r="F19">
        <v>8913</v>
      </c>
      <c r="G19" s="44" t="s">
        <v>127</v>
      </c>
      <c r="H19">
        <v>39856</v>
      </c>
      <c r="I19" s="44"/>
      <c r="J19">
        <v>12643</v>
      </c>
      <c r="K19" s="70">
        <f>F19</f>
        <v>8913</v>
      </c>
      <c r="L19" s="44">
        <f>H19+J19</f>
        <v>52499</v>
      </c>
      <c r="M19">
        <v>44322</v>
      </c>
      <c r="N19" s="44"/>
      <c r="O19">
        <v>29406</v>
      </c>
      <c r="P19" s="44"/>
      <c r="Q19">
        <v>23357</v>
      </c>
      <c r="R19" s="47">
        <f t="shared" si="2"/>
        <v>149584</v>
      </c>
      <c r="S19" s="44"/>
      <c r="T19">
        <v>38356</v>
      </c>
      <c r="U19">
        <v>38356</v>
      </c>
      <c r="W19" s="44"/>
      <c r="X19">
        <v>45458</v>
      </c>
      <c r="Y19">
        <v>45458</v>
      </c>
      <c r="AA19" s="44"/>
      <c r="AC19" s="44"/>
      <c r="AD19" s="55">
        <v>8965</v>
      </c>
      <c r="AE19" s="44"/>
      <c r="AF19">
        <v>18156</v>
      </c>
    </row>
    <row r="20" spans="3:31" ht="12.75">
      <c r="C20" s="14"/>
      <c r="D20" s="19"/>
      <c r="E20" s="44"/>
      <c r="G20" s="44"/>
      <c r="I20" s="44"/>
      <c r="K20" s="70"/>
      <c r="L20" s="44"/>
      <c r="N20" s="44"/>
      <c r="P20" s="44"/>
      <c r="S20" s="44"/>
      <c r="W20" s="44"/>
      <c r="AA20" s="44"/>
      <c r="AC20" s="44"/>
      <c r="AD20" s="55"/>
      <c r="AE20" s="44"/>
    </row>
    <row r="21" spans="1:32" ht="12.75">
      <c r="A21">
        <v>33</v>
      </c>
      <c r="B21" t="s">
        <v>30</v>
      </c>
      <c r="C21" s="14">
        <f t="shared" si="1"/>
        <v>1652087</v>
      </c>
      <c r="D21" s="19">
        <f t="shared" si="0"/>
        <v>33602</v>
      </c>
      <c r="E21" s="44" t="s">
        <v>128</v>
      </c>
      <c r="G21" s="44" t="s">
        <v>128</v>
      </c>
      <c r="H21">
        <v>33602</v>
      </c>
      <c r="I21" s="44"/>
      <c r="J21">
        <v>12075</v>
      </c>
      <c r="K21" s="70">
        <f>H21</f>
        <v>33602</v>
      </c>
      <c r="L21" s="44">
        <f>J21</f>
        <v>12075</v>
      </c>
      <c r="N21" s="44"/>
      <c r="O21">
        <v>3867</v>
      </c>
      <c r="P21" s="44"/>
      <c r="Q21">
        <v>3868</v>
      </c>
      <c r="R21" s="47">
        <f t="shared" si="2"/>
        <v>19810</v>
      </c>
      <c r="S21" s="44"/>
      <c r="T21">
        <v>458342</v>
      </c>
      <c r="V21">
        <v>458342</v>
      </c>
      <c r="W21" s="44"/>
      <c r="X21">
        <v>63926</v>
      </c>
      <c r="Z21">
        <v>63926</v>
      </c>
      <c r="AA21" s="44"/>
      <c r="AB21">
        <v>467774</v>
      </c>
      <c r="AC21" s="44"/>
      <c r="AD21" s="55">
        <v>885</v>
      </c>
      <c r="AE21" s="44"/>
      <c r="AF21">
        <v>19993</v>
      </c>
    </row>
    <row r="22" spans="3:31" ht="12.75">
      <c r="C22" s="14"/>
      <c r="D22" s="19"/>
      <c r="E22" s="44"/>
      <c r="G22" s="44"/>
      <c r="I22" s="44"/>
      <c r="K22" s="70">
        <f>J22+H22+F22</f>
        <v>0</v>
      </c>
      <c r="L22" s="44"/>
      <c r="N22" s="44"/>
      <c r="P22" s="44"/>
      <c r="R22" s="47">
        <f t="shared" si="2"/>
        <v>0</v>
      </c>
      <c r="S22" s="44"/>
      <c r="W22" s="44"/>
      <c r="AA22" s="44"/>
      <c r="AC22" s="44"/>
      <c r="AD22" s="55"/>
      <c r="AE22" s="44"/>
    </row>
    <row r="23" spans="3:31" ht="12.75">
      <c r="C23" s="14"/>
      <c r="D23" s="19"/>
      <c r="E23" s="44"/>
      <c r="G23" s="44"/>
      <c r="I23" s="44"/>
      <c r="K23" s="70">
        <f>J23+H23+F23</f>
        <v>0</v>
      </c>
      <c r="L23" s="44"/>
      <c r="N23" s="44"/>
      <c r="P23" s="44"/>
      <c r="R23" s="47">
        <f t="shared" si="2"/>
        <v>0</v>
      </c>
      <c r="S23" s="44"/>
      <c r="T23" s="5"/>
      <c r="U23" s="5"/>
      <c r="V23" s="5"/>
      <c r="W23" s="44"/>
      <c r="AA23" s="44"/>
      <c r="AC23" s="44"/>
      <c r="AD23" s="55"/>
      <c r="AE23" s="44"/>
    </row>
    <row r="24" spans="1:32" ht="12.75">
      <c r="A24">
        <v>7</v>
      </c>
      <c r="B24" t="s">
        <v>31</v>
      </c>
      <c r="C24" s="14">
        <f t="shared" si="1"/>
        <v>3122679</v>
      </c>
      <c r="D24" s="19">
        <f aca="true" t="shared" si="3" ref="D24:D52">IF(E24="X",F24,0)+IF(G24="X",H24,0)+IF(I24="X",J24,0)+IF(L24="X",M24,0)+IF(N24="X",O24,0)+IF(P24="X",Q24,0)+IF(R24="X",T24,0)+IF(W24="X",X24,0)+IF(AA24="X",AB24,0)+IF(AC24="X",AD24,0)+IF(AE24="X",AF24,0)</f>
        <v>60140</v>
      </c>
      <c r="E24" s="44" t="s">
        <v>128</v>
      </c>
      <c r="G24" s="44" t="s">
        <v>128</v>
      </c>
      <c r="H24">
        <v>60140</v>
      </c>
      <c r="I24" s="44"/>
      <c r="J24">
        <v>14632</v>
      </c>
      <c r="K24" s="70">
        <f>F24</f>
        <v>0</v>
      </c>
      <c r="L24" s="44">
        <f>H24+J24</f>
        <v>74772</v>
      </c>
      <c r="N24" s="44"/>
      <c r="O24">
        <v>21974</v>
      </c>
      <c r="P24" s="44"/>
      <c r="Q24">
        <v>13403</v>
      </c>
      <c r="R24" s="47">
        <f t="shared" si="2"/>
        <v>110149</v>
      </c>
      <c r="S24" s="44"/>
      <c r="T24">
        <v>224517</v>
      </c>
      <c r="V24">
        <v>224517</v>
      </c>
      <c r="W24" s="44"/>
      <c r="X24">
        <v>191778</v>
      </c>
      <c r="Y24">
        <v>191778</v>
      </c>
      <c r="AA24" s="44"/>
      <c r="AB24">
        <v>1921570</v>
      </c>
      <c r="AC24" s="44"/>
      <c r="AD24" s="55">
        <v>6020</v>
      </c>
      <c r="AE24" s="44"/>
      <c r="AF24">
        <v>67429</v>
      </c>
    </row>
    <row r="25" spans="1:31" ht="12.75">
      <c r="A25">
        <v>45</v>
      </c>
      <c r="B25" t="s">
        <v>74</v>
      </c>
      <c r="C25" s="14">
        <f t="shared" si="1"/>
        <v>0</v>
      </c>
      <c r="D25" s="19">
        <f t="shared" si="3"/>
        <v>0</v>
      </c>
      <c r="E25" s="44" t="s">
        <v>128</v>
      </c>
      <c r="G25" s="44" t="s">
        <v>128</v>
      </c>
      <c r="I25" s="44"/>
      <c r="K25" s="70">
        <f>J25+H25+F25</f>
        <v>0</v>
      </c>
      <c r="L25" s="44"/>
      <c r="N25" s="44"/>
      <c r="P25" s="44"/>
      <c r="R25" s="47">
        <f t="shared" si="2"/>
        <v>0</v>
      </c>
      <c r="S25" s="44"/>
      <c r="W25" s="44"/>
      <c r="AA25" s="44"/>
      <c r="AC25" s="44"/>
      <c r="AD25" s="55"/>
      <c r="AE25" s="44"/>
    </row>
    <row r="26" spans="1:31" ht="12.75">
      <c r="A26">
        <v>41</v>
      </c>
      <c r="B26" t="s">
        <v>32</v>
      </c>
      <c r="C26" s="14">
        <f t="shared" si="1"/>
        <v>278586</v>
      </c>
      <c r="D26" s="19">
        <f>IF(E26="X",F26,0)+IF(G26="X",H26,0)+IF(I26="X",J26,0)+IF(L26="X",M26,0)+IF(N26="X",O26,0)+IF(P26="X",Q26,0)+IF(R26="X",T26,0)+IF(W26="X",X26,0)+IF(AA26="X",AB26,0)+IF(AC26="X",AD26,0)+IF(AE26="X",AF26,0)</f>
        <v>5576</v>
      </c>
      <c r="E26" s="44" t="s">
        <v>128</v>
      </c>
      <c r="G26" s="44" t="s">
        <v>128</v>
      </c>
      <c r="H26">
        <v>5576</v>
      </c>
      <c r="I26" s="44"/>
      <c r="K26" s="70">
        <v>0</v>
      </c>
      <c r="L26" s="44">
        <f>H26</f>
        <v>5576</v>
      </c>
      <c r="M26">
        <v>1279</v>
      </c>
      <c r="N26" s="44"/>
      <c r="O26">
        <v>1798</v>
      </c>
      <c r="P26" s="44"/>
      <c r="R26" s="47">
        <f>L26+M26+O26+Q26</f>
        <v>8653</v>
      </c>
      <c r="S26" s="44"/>
      <c r="W26" s="44"/>
      <c r="X26">
        <v>127852</v>
      </c>
      <c r="Y26">
        <v>127852</v>
      </c>
      <c r="AA26" s="44"/>
      <c r="AC26" s="44"/>
      <c r="AD26" s="55"/>
      <c r="AE26" s="44"/>
    </row>
    <row r="27" spans="3:31" ht="12.75">
      <c r="C27" s="14"/>
      <c r="D27" s="19"/>
      <c r="E27" s="44"/>
      <c r="G27" s="44"/>
      <c r="I27" s="44"/>
      <c r="K27" s="70"/>
      <c r="L27" s="44"/>
      <c r="N27" s="44"/>
      <c r="P27" s="44"/>
      <c r="S27" s="44"/>
      <c r="W27" s="44"/>
      <c r="AA27" s="44"/>
      <c r="AC27" s="44"/>
      <c r="AD27" s="55"/>
      <c r="AE27" s="44"/>
    </row>
    <row r="28" spans="1:32" ht="12.75">
      <c r="A28">
        <v>18</v>
      </c>
      <c r="B28" t="s">
        <v>33</v>
      </c>
      <c r="C28" s="14">
        <f t="shared" si="1"/>
        <v>1632618</v>
      </c>
      <c r="D28" s="19">
        <f t="shared" si="3"/>
        <v>27701</v>
      </c>
      <c r="E28" s="44" t="s">
        <v>128</v>
      </c>
      <c r="F28">
        <v>852</v>
      </c>
      <c r="G28" s="44" t="s">
        <v>128</v>
      </c>
      <c r="H28">
        <v>26849</v>
      </c>
      <c r="I28" s="44"/>
      <c r="J28">
        <v>31111</v>
      </c>
      <c r="K28" s="70">
        <f>F28+H28</f>
        <v>27701</v>
      </c>
      <c r="L28" s="44">
        <f>J28</f>
        <v>31111</v>
      </c>
      <c r="N28" s="44"/>
      <c r="O28">
        <v>1509</v>
      </c>
      <c r="P28" s="44"/>
      <c r="Q28">
        <v>104100</v>
      </c>
      <c r="R28" s="47">
        <f t="shared" si="2"/>
        <v>136720</v>
      </c>
      <c r="S28" s="44"/>
      <c r="T28">
        <v>281071</v>
      </c>
      <c r="V28">
        <v>281071</v>
      </c>
      <c r="W28" s="44"/>
      <c r="X28">
        <v>98020</v>
      </c>
      <c r="Y28">
        <v>98020</v>
      </c>
      <c r="AA28" s="44"/>
      <c r="AB28">
        <v>483703</v>
      </c>
      <c r="AC28" s="44"/>
      <c r="AD28" s="55">
        <v>408</v>
      </c>
      <c r="AE28" s="44"/>
      <c r="AF28">
        <v>30372</v>
      </c>
    </row>
    <row r="29" spans="1:31" ht="12.75">
      <c r="A29">
        <v>8</v>
      </c>
      <c r="B29" t="s">
        <v>34</v>
      </c>
      <c r="C29" s="14">
        <f t="shared" si="1"/>
        <v>535032</v>
      </c>
      <c r="D29" s="19">
        <f t="shared" si="3"/>
        <v>21647</v>
      </c>
      <c r="E29" s="44" t="s">
        <v>128</v>
      </c>
      <c r="F29">
        <v>20151</v>
      </c>
      <c r="G29" s="44" t="s">
        <v>128</v>
      </c>
      <c r="H29">
        <v>1496</v>
      </c>
      <c r="I29" s="44"/>
      <c r="J29">
        <v>35088</v>
      </c>
      <c r="K29" s="70">
        <f>F29+H29</f>
        <v>21647</v>
      </c>
      <c r="L29" s="44">
        <f>J29</f>
        <v>35088</v>
      </c>
      <c r="N29" s="44"/>
      <c r="O29">
        <v>11589</v>
      </c>
      <c r="P29" s="44"/>
      <c r="Q29">
        <v>5975</v>
      </c>
      <c r="R29" s="47">
        <f t="shared" si="2"/>
        <v>52652</v>
      </c>
      <c r="S29" s="44"/>
      <c r="T29">
        <v>2841</v>
      </c>
      <c r="V29">
        <v>2841</v>
      </c>
      <c r="W29" s="44"/>
      <c r="X29">
        <v>170469</v>
      </c>
      <c r="Y29">
        <v>170469</v>
      </c>
      <c r="AA29" s="44"/>
      <c r="AC29" s="44"/>
      <c r="AD29" s="55">
        <v>4726</v>
      </c>
      <c r="AE29" s="44"/>
    </row>
    <row r="30" spans="1:34" s="25" customFormat="1" ht="12.75">
      <c r="A30" s="13"/>
      <c r="B30" s="13" t="s">
        <v>62</v>
      </c>
      <c r="C30" s="16"/>
      <c r="D30" s="17">
        <f t="shared" si="3"/>
        <v>0</v>
      </c>
      <c r="E30" s="45"/>
      <c r="F30" s="13"/>
      <c r="G30" s="45"/>
      <c r="H30" s="13"/>
      <c r="I30" s="45"/>
      <c r="J30" s="13"/>
      <c r="K30" s="70">
        <f>J30+H30+F30</f>
        <v>0</v>
      </c>
      <c r="L30" s="45"/>
      <c r="M30" s="13"/>
      <c r="N30" s="45"/>
      <c r="O30" s="13"/>
      <c r="P30" s="45"/>
      <c r="Q30" s="13"/>
      <c r="R30" s="47">
        <f t="shared" si="2"/>
        <v>0</v>
      </c>
      <c r="S30" s="45"/>
      <c r="T30" s="13"/>
      <c r="U30" s="13"/>
      <c r="V30" s="13"/>
      <c r="W30" s="45"/>
      <c r="X30" s="13"/>
      <c r="Y30" s="13"/>
      <c r="Z30" s="13"/>
      <c r="AA30" s="45"/>
      <c r="AB30" s="13"/>
      <c r="AC30" s="45"/>
      <c r="AD30" s="56"/>
      <c r="AE30" s="48"/>
      <c r="AF30" s="13"/>
      <c r="AG30" s="13"/>
      <c r="AH30"/>
    </row>
    <row r="31" spans="1:32" ht="12.75">
      <c r="A31">
        <v>14</v>
      </c>
      <c r="B31" t="s">
        <v>35</v>
      </c>
      <c r="C31" s="14">
        <f>SUM(F31:AF31)</f>
        <v>1233014</v>
      </c>
      <c r="D31" s="19">
        <f t="shared" si="3"/>
        <v>32158</v>
      </c>
      <c r="E31" s="44" t="s">
        <v>128</v>
      </c>
      <c r="F31">
        <v>1705</v>
      </c>
      <c r="G31" s="44" t="s">
        <v>128</v>
      </c>
      <c r="H31">
        <v>30453</v>
      </c>
      <c r="I31" s="44"/>
      <c r="J31">
        <v>26565</v>
      </c>
      <c r="K31" s="70">
        <f>F31+H31</f>
        <v>32158</v>
      </c>
      <c r="L31" s="44">
        <f>J31</f>
        <v>26565</v>
      </c>
      <c r="M31">
        <v>42617</v>
      </c>
      <c r="N31" s="44"/>
      <c r="O31">
        <v>14486</v>
      </c>
      <c r="P31" s="44"/>
      <c r="Q31">
        <v>15227</v>
      </c>
      <c r="R31" s="47">
        <f t="shared" si="2"/>
        <v>98895</v>
      </c>
      <c r="S31" s="44"/>
      <c r="T31">
        <v>223977</v>
      </c>
      <c r="V31">
        <v>223977</v>
      </c>
      <c r="W31" s="44"/>
      <c r="X31">
        <v>39978</v>
      </c>
      <c r="Y31">
        <v>39978</v>
      </c>
      <c r="AA31" s="44"/>
      <c r="AB31">
        <v>344019</v>
      </c>
      <c r="AC31" s="44"/>
      <c r="AD31" s="55">
        <v>5580</v>
      </c>
      <c r="AE31" s="44"/>
      <c r="AF31">
        <v>66834</v>
      </c>
    </row>
    <row r="32" spans="1:32" ht="12.75">
      <c r="A32">
        <v>37</v>
      </c>
      <c r="B32" t="s">
        <v>36</v>
      </c>
      <c r="C32" s="14">
        <f t="shared" si="1"/>
        <v>351350</v>
      </c>
      <c r="D32" s="19">
        <f t="shared" si="3"/>
        <v>2557</v>
      </c>
      <c r="E32" s="44" t="s">
        <v>128</v>
      </c>
      <c r="F32">
        <v>2557</v>
      </c>
      <c r="G32" s="44" t="s">
        <v>127</v>
      </c>
      <c r="H32">
        <v>7103</v>
      </c>
      <c r="I32" s="44"/>
      <c r="J32">
        <v>24434</v>
      </c>
      <c r="K32" s="70">
        <v>0</v>
      </c>
      <c r="L32" s="44">
        <f>J32+H32+F32</f>
        <v>34094</v>
      </c>
      <c r="N32" s="44"/>
      <c r="O32">
        <v>14246</v>
      </c>
      <c r="P32" s="44"/>
      <c r="Q32">
        <v>39874</v>
      </c>
      <c r="R32" s="47">
        <f t="shared" si="2"/>
        <v>88214</v>
      </c>
      <c r="S32" s="44"/>
      <c r="T32">
        <v>2841</v>
      </c>
      <c r="V32">
        <v>2841</v>
      </c>
      <c r="W32" s="44"/>
      <c r="X32">
        <v>65347</v>
      </c>
      <c r="Y32">
        <v>65347</v>
      </c>
      <c r="AA32" s="44"/>
      <c r="AC32" s="44"/>
      <c r="AD32" s="55">
        <v>868</v>
      </c>
      <c r="AE32" s="44"/>
      <c r="AF32">
        <v>3584</v>
      </c>
    </row>
    <row r="33" spans="1:32" ht="12.75">
      <c r="A33">
        <v>22</v>
      </c>
      <c r="B33" t="s">
        <v>37</v>
      </c>
      <c r="C33" s="14">
        <f t="shared" si="1"/>
        <v>1875628</v>
      </c>
      <c r="D33" s="19">
        <f t="shared" si="3"/>
        <v>54677</v>
      </c>
      <c r="E33" s="44" t="s">
        <v>128</v>
      </c>
      <c r="F33">
        <v>2557</v>
      </c>
      <c r="G33" s="44" t="s">
        <v>128</v>
      </c>
      <c r="H33">
        <v>52120</v>
      </c>
      <c r="I33" s="44"/>
      <c r="J33">
        <v>14774</v>
      </c>
      <c r="K33" s="70">
        <f>F33+H33</f>
        <v>54677</v>
      </c>
      <c r="L33" s="44">
        <f>J33</f>
        <v>14774</v>
      </c>
      <c r="M33">
        <v>1279</v>
      </c>
      <c r="N33" s="44"/>
      <c r="O33">
        <v>46979</v>
      </c>
      <c r="P33" s="44"/>
      <c r="Q33">
        <v>14981</v>
      </c>
      <c r="R33" s="47">
        <f t="shared" si="2"/>
        <v>78013</v>
      </c>
      <c r="S33" s="44"/>
      <c r="W33" s="44"/>
      <c r="X33">
        <v>56823</v>
      </c>
      <c r="Y33">
        <v>56823</v>
      </c>
      <c r="AA33" s="44"/>
      <c r="AB33">
        <v>1143611</v>
      </c>
      <c r="AC33" s="44"/>
      <c r="AD33" s="55">
        <v>34260</v>
      </c>
      <c r="AE33" s="44"/>
      <c r="AF33">
        <v>303957</v>
      </c>
    </row>
    <row r="34" spans="2:31" ht="12.75">
      <c r="B34" t="s">
        <v>136</v>
      </c>
      <c r="C34" s="14"/>
      <c r="D34" s="19">
        <f t="shared" si="3"/>
        <v>0</v>
      </c>
      <c r="E34" s="44" t="s">
        <v>128</v>
      </c>
      <c r="G34" s="44" t="s">
        <v>128</v>
      </c>
      <c r="I34" s="44"/>
      <c r="K34" s="70">
        <f>J34+H34+F34</f>
        <v>0</v>
      </c>
      <c r="L34" s="44"/>
      <c r="N34" s="44"/>
      <c r="P34" s="44"/>
      <c r="R34" s="47">
        <f t="shared" si="2"/>
        <v>0</v>
      </c>
      <c r="S34" s="44"/>
      <c r="W34" s="44"/>
      <c r="AA34" s="44"/>
      <c r="AC34" s="44"/>
      <c r="AD34" s="55"/>
      <c r="AE34" s="44"/>
    </row>
    <row r="35" spans="1:32" ht="12.75">
      <c r="A35">
        <v>23</v>
      </c>
      <c r="B35" t="s">
        <v>40</v>
      </c>
      <c r="C35" s="14">
        <f t="shared" si="1"/>
        <v>467696</v>
      </c>
      <c r="D35" s="19">
        <f t="shared" si="3"/>
        <v>18286</v>
      </c>
      <c r="E35" s="44" t="s">
        <v>128</v>
      </c>
      <c r="F35">
        <v>18286</v>
      </c>
      <c r="G35" s="44" t="s">
        <v>127</v>
      </c>
      <c r="H35">
        <v>44092</v>
      </c>
      <c r="I35" s="44"/>
      <c r="J35">
        <v>21877</v>
      </c>
      <c r="K35" s="70">
        <v>0</v>
      </c>
      <c r="L35" s="44">
        <f>J35+H35+F35</f>
        <v>84255</v>
      </c>
      <c r="M35">
        <v>426</v>
      </c>
      <c r="N35" s="44"/>
      <c r="O35">
        <v>24001</v>
      </c>
      <c r="P35" s="44"/>
      <c r="Q35">
        <v>18837</v>
      </c>
      <c r="R35" s="47">
        <f t="shared" si="2"/>
        <v>127519</v>
      </c>
      <c r="S35" s="44"/>
      <c r="T35">
        <v>2841</v>
      </c>
      <c r="V35">
        <v>2841</v>
      </c>
      <c r="W35" s="44"/>
      <c r="X35">
        <v>45458</v>
      </c>
      <c r="Y35">
        <v>45458</v>
      </c>
      <c r="AA35" s="44"/>
      <c r="AB35">
        <v>6556</v>
      </c>
      <c r="AC35" s="44"/>
      <c r="AD35" s="55">
        <v>18767</v>
      </c>
      <c r="AE35" s="44"/>
      <c r="AF35">
        <v>6482</v>
      </c>
    </row>
    <row r="36" spans="1:32" ht="12.75">
      <c r="A36">
        <v>42</v>
      </c>
      <c r="B36" t="s">
        <v>41</v>
      </c>
      <c r="C36" s="14">
        <f t="shared" si="1"/>
        <v>425210</v>
      </c>
      <c r="D36" s="19">
        <f t="shared" si="3"/>
        <v>11152</v>
      </c>
      <c r="E36" s="44" t="s">
        <v>128</v>
      </c>
      <c r="G36" s="44" t="s">
        <v>128</v>
      </c>
      <c r="H36">
        <v>11152</v>
      </c>
      <c r="I36" s="44"/>
      <c r="J36">
        <v>4120</v>
      </c>
      <c r="K36" s="70">
        <f>H36+F36</f>
        <v>11152</v>
      </c>
      <c r="L36" s="44">
        <f>J36</f>
        <v>4120</v>
      </c>
      <c r="M36">
        <v>1563</v>
      </c>
      <c r="N36" s="44"/>
      <c r="O36">
        <v>81</v>
      </c>
      <c r="P36" s="44"/>
      <c r="Q36">
        <v>13983</v>
      </c>
      <c r="R36" s="47">
        <f t="shared" si="2"/>
        <v>19747</v>
      </c>
      <c r="S36" s="44"/>
      <c r="W36" s="44"/>
      <c r="X36">
        <v>127852</v>
      </c>
      <c r="Z36">
        <v>127852</v>
      </c>
      <c r="AA36" s="44"/>
      <c r="AB36">
        <v>96766</v>
      </c>
      <c r="AC36" s="44"/>
      <c r="AD36" s="55">
        <v>2310</v>
      </c>
      <c r="AE36" s="44"/>
      <c r="AF36">
        <v>4512</v>
      </c>
    </row>
    <row r="37" spans="1:32" ht="12.75">
      <c r="A37">
        <v>24</v>
      </c>
      <c r="B37" t="s">
        <v>42</v>
      </c>
      <c r="C37" s="14">
        <f t="shared" si="1"/>
        <v>446634</v>
      </c>
      <c r="D37" s="19">
        <f t="shared" si="3"/>
        <v>2131</v>
      </c>
      <c r="E37" s="44" t="s">
        <v>128</v>
      </c>
      <c r="F37">
        <v>2131</v>
      </c>
      <c r="G37" s="44" t="s">
        <v>127</v>
      </c>
      <c r="H37">
        <v>23552</v>
      </c>
      <c r="I37" s="44"/>
      <c r="J37">
        <v>11223</v>
      </c>
      <c r="K37" s="70">
        <f>F37+H37</f>
        <v>25683</v>
      </c>
      <c r="L37" s="44">
        <f>J37</f>
        <v>11223</v>
      </c>
      <c r="M37">
        <v>42617</v>
      </c>
      <c r="N37" s="44"/>
      <c r="O37">
        <v>39094</v>
      </c>
      <c r="P37" s="44"/>
      <c r="Q37">
        <v>13179</v>
      </c>
      <c r="R37" s="47">
        <f t="shared" si="2"/>
        <v>106113</v>
      </c>
      <c r="S37" s="44"/>
      <c r="T37">
        <v>38356</v>
      </c>
      <c r="V37">
        <v>38356</v>
      </c>
      <c r="W37" s="44"/>
      <c r="X37">
        <v>22729</v>
      </c>
      <c r="Y37">
        <v>22729</v>
      </c>
      <c r="AA37" s="44"/>
      <c r="AB37">
        <v>3963</v>
      </c>
      <c r="AC37" s="44"/>
      <c r="AD37" s="55">
        <v>9676</v>
      </c>
      <c r="AE37" s="44"/>
      <c r="AF37">
        <v>36010</v>
      </c>
    </row>
    <row r="38" spans="1:32" ht="12.75">
      <c r="A38">
        <v>15</v>
      </c>
      <c r="B38" t="s">
        <v>43</v>
      </c>
      <c r="C38" s="14">
        <f t="shared" si="1"/>
        <v>1765733</v>
      </c>
      <c r="D38" s="19">
        <f t="shared" si="3"/>
        <v>71965</v>
      </c>
      <c r="E38" s="44" t="s">
        <v>128</v>
      </c>
      <c r="F38">
        <v>1705</v>
      </c>
      <c r="G38" s="44" t="s">
        <v>128</v>
      </c>
      <c r="H38">
        <v>70260</v>
      </c>
      <c r="I38" s="44"/>
      <c r="J38">
        <v>18894</v>
      </c>
      <c r="K38" s="70">
        <f>F38+H38</f>
        <v>71965</v>
      </c>
      <c r="L38" s="44">
        <f>J38</f>
        <v>18894</v>
      </c>
      <c r="M38">
        <v>1705</v>
      </c>
      <c r="N38" s="44"/>
      <c r="O38">
        <v>12265</v>
      </c>
      <c r="P38" s="44"/>
      <c r="Q38">
        <v>23370</v>
      </c>
      <c r="R38" s="47">
        <f t="shared" si="2"/>
        <v>56234</v>
      </c>
      <c r="S38" s="44"/>
      <c r="T38">
        <v>148418</v>
      </c>
      <c r="V38">
        <v>148418</v>
      </c>
      <c r="W38" s="44"/>
      <c r="X38">
        <v>161946</v>
      </c>
      <c r="Z38">
        <v>161946</v>
      </c>
      <c r="AA38" s="44"/>
      <c r="AB38">
        <v>663319</v>
      </c>
      <c r="AC38" s="44"/>
      <c r="AD38" s="55">
        <v>72861</v>
      </c>
      <c r="AE38" s="44"/>
      <c r="AF38">
        <v>133533</v>
      </c>
    </row>
    <row r="39" spans="1:31" ht="12.75">
      <c r="A39">
        <v>26</v>
      </c>
      <c r="B39" t="s">
        <v>44</v>
      </c>
      <c r="C39" s="14">
        <f t="shared" si="1"/>
        <v>0</v>
      </c>
      <c r="D39" s="19">
        <f t="shared" si="3"/>
        <v>0</v>
      </c>
      <c r="E39" s="44" t="s">
        <v>128</v>
      </c>
      <c r="G39" s="44" t="s">
        <v>128</v>
      </c>
      <c r="I39" s="44"/>
      <c r="K39" s="70">
        <f>J39+H39+F39</f>
        <v>0</v>
      </c>
      <c r="L39" s="44"/>
      <c r="N39" s="44"/>
      <c r="P39" s="44"/>
      <c r="R39" s="47">
        <f t="shared" si="2"/>
        <v>0</v>
      </c>
      <c r="S39" s="44"/>
      <c r="W39" s="44"/>
      <c r="AA39" s="44"/>
      <c r="AC39" s="44"/>
      <c r="AD39" s="55"/>
      <c r="AE39" s="44"/>
    </row>
    <row r="40" spans="1:32" ht="12.75">
      <c r="A40">
        <v>39</v>
      </c>
      <c r="B40" t="s">
        <v>45</v>
      </c>
      <c r="C40" s="14">
        <f t="shared" si="1"/>
        <v>1087982</v>
      </c>
      <c r="D40" s="19">
        <f t="shared" si="3"/>
        <v>37701</v>
      </c>
      <c r="E40" s="44" t="s">
        <v>128</v>
      </c>
      <c r="F40">
        <v>426</v>
      </c>
      <c r="G40" s="44" t="s">
        <v>128</v>
      </c>
      <c r="H40">
        <v>37275</v>
      </c>
      <c r="I40" s="44"/>
      <c r="J40">
        <v>4120</v>
      </c>
      <c r="K40" s="70">
        <f>F40+H40+J40</f>
        <v>41821</v>
      </c>
      <c r="L40" s="44"/>
      <c r="M40">
        <v>42759</v>
      </c>
      <c r="N40" s="44"/>
      <c r="O40">
        <v>686</v>
      </c>
      <c r="P40" s="44"/>
      <c r="Q40">
        <v>13663</v>
      </c>
      <c r="R40" s="47">
        <f t="shared" si="2"/>
        <v>57108</v>
      </c>
      <c r="S40" s="44"/>
      <c r="W40" s="44"/>
      <c r="X40">
        <v>85235</v>
      </c>
      <c r="Z40">
        <v>85235</v>
      </c>
      <c r="AA40" s="44"/>
      <c r="AB40">
        <v>706465</v>
      </c>
      <c r="AC40" s="44"/>
      <c r="AD40" s="55">
        <v>5995</v>
      </c>
      <c r="AE40" s="44"/>
      <c r="AF40">
        <v>7194</v>
      </c>
    </row>
    <row r="41" spans="1:32" ht="12.75">
      <c r="A41">
        <v>27</v>
      </c>
      <c r="B41" t="s">
        <v>46</v>
      </c>
      <c r="C41" s="14">
        <f t="shared" si="1"/>
        <v>502286</v>
      </c>
      <c r="D41" s="19">
        <f t="shared" si="3"/>
        <v>41362</v>
      </c>
      <c r="E41" s="44" t="s">
        <v>128</v>
      </c>
      <c r="F41">
        <v>4688</v>
      </c>
      <c r="G41" s="44" t="s">
        <v>128</v>
      </c>
      <c r="H41">
        <v>36674</v>
      </c>
      <c r="I41" s="44"/>
      <c r="J41">
        <v>32389</v>
      </c>
      <c r="K41" s="70">
        <f>J41+H41+F41</f>
        <v>73751</v>
      </c>
      <c r="L41" s="44"/>
      <c r="N41" s="44"/>
      <c r="O41">
        <v>62770</v>
      </c>
      <c r="P41" s="44"/>
      <c r="Q41">
        <v>24798</v>
      </c>
      <c r="R41" s="47">
        <f t="shared" si="2"/>
        <v>87568</v>
      </c>
      <c r="S41" s="44"/>
      <c r="T41">
        <v>9944</v>
      </c>
      <c r="U41">
        <v>9944</v>
      </c>
      <c r="W41" s="44"/>
      <c r="X41">
        <v>76711</v>
      </c>
      <c r="Z41">
        <v>76711</v>
      </c>
      <c r="AA41" s="44"/>
      <c r="AC41" s="44"/>
      <c r="AD41" s="55">
        <v>2247</v>
      </c>
      <c r="AE41" s="44"/>
      <c r="AF41">
        <v>4091</v>
      </c>
    </row>
    <row r="42" spans="2:31" ht="12.75">
      <c r="B42" t="s">
        <v>64</v>
      </c>
      <c r="C42" s="14"/>
      <c r="D42" s="19">
        <f t="shared" si="3"/>
        <v>0</v>
      </c>
      <c r="E42" s="44" t="s">
        <v>128</v>
      </c>
      <c r="G42" s="44" t="s">
        <v>128</v>
      </c>
      <c r="I42" s="44"/>
      <c r="K42" s="70">
        <f>J42+H42+F42</f>
        <v>0</v>
      </c>
      <c r="L42" s="44"/>
      <c r="N42" s="44"/>
      <c r="P42" s="44"/>
      <c r="R42" s="47">
        <f t="shared" si="2"/>
        <v>0</v>
      </c>
      <c r="S42" s="44"/>
      <c r="W42" s="44"/>
      <c r="AA42" s="44"/>
      <c r="AC42" s="44"/>
      <c r="AD42" s="55"/>
      <c r="AE42" s="44"/>
    </row>
    <row r="43" spans="1:32" ht="12.75">
      <c r="A43">
        <v>6</v>
      </c>
      <c r="B43" t="s">
        <v>47</v>
      </c>
      <c r="C43" s="14">
        <f t="shared" si="1"/>
        <v>1694482</v>
      </c>
      <c r="D43" s="19">
        <f t="shared" si="3"/>
        <v>29223</v>
      </c>
      <c r="E43" s="44" t="s">
        <v>128</v>
      </c>
      <c r="F43">
        <v>5114</v>
      </c>
      <c r="G43" s="44" t="s">
        <v>128</v>
      </c>
      <c r="H43">
        <v>24109</v>
      </c>
      <c r="I43" s="44"/>
      <c r="J43">
        <v>30827</v>
      </c>
      <c r="K43" s="70">
        <f>F43+H43</f>
        <v>29223</v>
      </c>
      <c r="L43" s="44">
        <f>J43</f>
        <v>30827</v>
      </c>
      <c r="N43" s="44"/>
      <c r="O43">
        <v>10464</v>
      </c>
      <c r="P43" s="44"/>
      <c r="Q43">
        <v>1274</v>
      </c>
      <c r="R43" s="47">
        <f t="shared" si="2"/>
        <v>42565</v>
      </c>
      <c r="S43" s="44"/>
      <c r="T43">
        <v>424766</v>
      </c>
      <c r="V43">
        <v>424766</v>
      </c>
      <c r="W43" s="44"/>
      <c r="X43">
        <v>234395</v>
      </c>
      <c r="Z43">
        <v>234395</v>
      </c>
      <c r="AA43" s="44"/>
      <c r="AB43">
        <v>187967</v>
      </c>
      <c r="AC43" s="44"/>
      <c r="AD43" s="55">
        <v>7271</v>
      </c>
      <c r="AE43" s="44"/>
      <c r="AF43">
        <v>6519</v>
      </c>
    </row>
    <row r="44" spans="1:32" ht="12.75">
      <c r="A44">
        <v>43</v>
      </c>
      <c r="B44" t="s">
        <v>48</v>
      </c>
      <c r="C44" s="14">
        <f t="shared" si="1"/>
        <v>237639</v>
      </c>
      <c r="D44" s="19">
        <f t="shared" si="3"/>
        <v>2273</v>
      </c>
      <c r="E44" s="44" t="s">
        <v>128</v>
      </c>
      <c r="F44">
        <v>2273</v>
      </c>
      <c r="G44" s="44" t="s">
        <v>128</v>
      </c>
      <c r="I44" s="44"/>
      <c r="J44">
        <v>7813</v>
      </c>
      <c r="K44" s="70">
        <f>F44+H44</f>
        <v>2273</v>
      </c>
      <c r="L44" s="44">
        <f>J44</f>
        <v>7813</v>
      </c>
      <c r="N44" s="44"/>
      <c r="P44" s="44"/>
      <c r="Q44">
        <v>2983</v>
      </c>
      <c r="R44" s="47">
        <f t="shared" si="2"/>
        <v>10796</v>
      </c>
      <c r="S44" s="44"/>
      <c r="T44">
        <v>15626</v>
      </c>
      <c r="V44">
        <v>15626</v>
      </c>
      <c r="W44" s="44"/>
      <c r="X44">
        <v>85235</v>
      </c>
      <c r="Z44">
        <v>85235</v>
      </c>
      <c r="AA44" s="44"/>
      <c r="AC44" s="44"/>
      <c r="AD44" s="55"/>
      <c r="AE44" s="44"/>
      <c r="AF44">
        <v>1966</v>
      </c>
    </row>
    <row r="45" spans="1:34" s="25" customFormat="1" ht="12.75">
      <c r="A45" s="13"/>
      <c r="B45" s="13" t="s">
        <v>65</v>
      </c>
      <c r="C45" s="16"/>
      <c r="D45" s="17">
        <f t="shared" si="3"/>
        <v>0</v>
      </c>
      <c r="E45" s="45"/>
      <c r="F45" s="13"/>
      <c r="G45" s="45"/>
      <c r="H45" s="13"/>
      <c r="I45" s="45"/>
      <c r="J45" s="13"/>
      <c r="K45" s="70">
        <f aca="true" t="shared" si="4" ref="K45:K50">J45+H45+F45</f>
        <v>0</v>
      </c>
      <c r="L45" s="45"/>
      <c r="M45" s="13"/>
      <c r="N45" s="45"/>
      <c r="O45" s="13"/>
      <c r="P45" s="45"/>
      <c r="Q45" s="13"/>
      <c r="R45" s="47">
        <f t="shared" si="2"/>
        <v>0</v>
      </c>
      <c r="S45" s="45"/>
      <c r="T45" s="13"/>
      <c r="U45" s="13"/>
      <c r="V45" s="13"/>
      <c r="W45" s="45"/>
      <c r="X45" s="13"/>
      <c r="Y45" s="13"/>
      <c r="Z45" s="13"/>
      <c r="AA45" s="45"/>
      <c r="AB45" s="13"/>
      <c r="AC45" s="45"/>
      <c r="AD45" s="56"/>
      <c r="AE45" s="48"/>
      <c r="AF45" s="13"/>
      <c r="AG45" s="13"/>
      <c r="AH45"/>
    </row>
    <row r="46" spans="1:33" ht="12.75">
      <c r="A46">
        <v>28</v>
      </c>
      <c r="B46" t="s">
        <v>49</v>
      </c>
      <c r="C46" s="14">
        <f t="shared" si="1"/>
        <v>1040714.0507054488</v>
      </c>
      <c r="D46" s="54">
        <f t="shared" si="3"/>
        <v>4829.965332191999</v>
      </c>
      <c r="E46" s="44" t="s">
        <v>128</v>
      </c>
      <c r="F46" s="55">
        <v>4829.965332191999</v>
      </c>
      <c r="G46" s="44" t="s">
        <v>127</v>
      </c>
      <c r="H46" s="55">
        <v>323991.2333273615</v>
      </c>
      <c r="I46" s="44"/>
      <c r="J46">
        <v>27133.040542607992</v>
      </c>
      <c r="K46" s="70">
        <f t="shared" si="4"/>
        <v>355954.23920216155</v>
      </c>
      <c r="L46" s="44"/>
      <c r="N46" s="44"/>
      <c r="O46">
        <v>20490.417632805114</v>
      </c>
      <c r="P46" s="44"/>
      <c r="Q46" s="55">
        <v>38469.25329287039</v>
      </c>
      <c r="R46" s="47">
        <f t="shared" si="2"/>
        <v>58959.6709256755</v>
      </c>
      <c r="S46" s="44"/>
      <c r="T46" s="55">
        <v>19888.092544319992</v>
      </c>
      <c r="U46" s="55"/>
      <c r="V46" s="55">
        <v>19888.092544319992</v>
      </c>
      <c r="W46" s="44"/>
      <c r="X46" s="55">
        <v>56823.121555199985</v>
      </c>
      <c r="Z46" s="55">
        <v>56823.121555199985</v>
      </c>
      <c r="AA46" s="44"/>
      <c r="AB46" s="55">
        <v>0</v>
      </c>
      <c r="AC46" s="44"/>
      <c r="AD46" s="55">
        <v>29644.62251534783</v>
      </c>
      <c r="AE46" s="44"/>
      <c r="AF46" s="55">
        <v>27819.17973538703</v>
      </c>
      <c r="AG46" s="55"/>
    </row>
    <row r="47" spans="1:33" ht="12.75">
      <c r="A47">
        <v>31</v>
      </c>
      <c r="B47" t="s">
        <v>50</v>
      </c>
      <c r="C47" s="14">
        <f t="shared" si="1"/>
        <v>1086955.2864490314</v>
      </c>
      <c r="D47" s="54">
        <f t="shared" si="3"/>
        <v>22111.297175167194</v>
      </c>
      <c r="E47" s="44" t="s">
        <v>128</v>
      </c>
      <c r="F47" s="55">
        <v>7813.179213839998</v>
      </c>
      <c r="G47" s="44" t="s">
        <v>128</v>
      </c>
      <c r="H47" s="55">
        <v>14298.117961327196</v>
      </c>
      <c r="I47" s="44"/>
      <c r="J47">
        <v>9091.699448831998</v>
      </c>
      <c r="K47" s="70">
        <f t="shared" si="4"/>
        <v>31202.99662399919</v>
      </c>
      <c r="L47" s="44"/>
      <c r="N47" s="44"/>
      <c r="O47">
        <v>16637.809991362556</v>
      </c>
      <c r="P47" s="44"/>
      <c r="Q47" s="55">
        <v>24012.03059118863</v>
      </c>
      <c r="R47" s="47">
        <f t="shared" si="2"/>
        <v>40649.84058255119</v>
      </c>
      <c r="S47" s="44"/>
      <c r="T47" s="55">
        <v>205093.11320722217</v>
      </c>
      <c r="U47" s="55"/>
      <c r="V47" s="55">
        <v>205093.11320722217</v>
      </c>
      <c r="W47" s="44"/>
      <c r="X47" s="55">
        <v>213086.70583199992</v>
      </c>
      <c r="Y47" s="55"/>
      <c r="Z47" s="55">
        <v>213086.70583199992</v>
      </c>
      <c r="AA47" s="44"/>
      <c r="AB47" s="55">
        <v>72541.81755540718</v>
      </c>
      <c r="AC47" s="44"/>
      <c r="AD47" s="55">
        <v>19132.345027635834</v>
      </c>
      <c r="AE47" s="44"/>
      <c r="AF47" s="55">
        <v>15215.811374443676</v>
      </c>
      <c r="AG47" s="55"/>
    </row>
    <row r="48" spans="1:33" ht="12.75">
      <c r="A48">
        <v>32</v>
      </c>
      <c r="B48" t="s">
        <v>51</v>
      </c>
      <c r="C48" s="14">
        <f t="shared" si="1"/>
        <v>238081.77642609348</v>
      </c>
      <c r="D48" s="54">
        <f t="shared" si="3"/>
        <v>9233.757252719997</v>
      </c>
      <c r="E48" s="44" t="s">
        <v>128</v>
      </c>
      <c r="F48" s="55">
        <v>2130.867058319999</v>
      </c>
      <c r="G48" s="44" t="s">
        <v>128</v>
      </c>
      <c r="H48" s="55">
        <v>7102.890194399998</v>
      </c>
      <c r="I48" s="44"/>
      <c r="J48">
        <v>7244.9479982879975</v>
      </c>
      <c r="K48" s="70">
        <f t="shared" si="4"/>
        <v>16478.705251007996</v>
      </c>
      <c r="L48" s="44"/>
      <c r="N48" s="44"/>
      <c r="O48">
        <v>6386.918862804478</v>
      </c>
      <c r="P48" s="44"/>
      <c r="Q48" s="55">
        <v>11084.770437380637</v>
      </c>
      <c r="R48" s="47">
        <f t="shared" si="2"/>
        <v>17471.689300185113</v>
      </c>
      <c r="S48" s="44"/>
      <c r="T48" s="55">
        <v>12785.202349919997</v>
      </c>
      <c r="U48" s="55"/>
      <c r="V48" s="55">
        <v>12785.202349919997</v>
      </c>
      <c r="W48" s="44"/>
      <c r="X48" s="55">
        <v>65346.58978847998</v>
      </c>
      <c r="Y48" s="55">
        <v>65346.58978847998</v>
      </c>
      <c r="AA48" s="44"/>
      <c r="AB48" s="55">
        <v>0</v>
      </c>
      <c r="AC48" s="44"/>
      <c r="AD48" s="55">
        <v>7306.032853959838</v>
      </c>
      <c r="AE48" s="44"/>
      <c r="AF48" s="55">
        <v>6611.370192947518</v>
      </c>
      <c r="AG48" s="55"/>
    </row>
    <row r="49" spans="1:33" ht="12.75">
      <c r="A49">
        <v>11</v>
      </c>
      <c r="B49" t="s">
        <v>52</v>
      </c>
      <c r="C49" s="14">
        <f t="shared" si="1"/>
        <v>443802.7851265007</v>
      </c>
      <c r="D49" s="54">
        <f t="shared" si="3"/>
        <v>3835.5607049759988</v>
      </c>
      <c r="E49" s="44" t="s">
        <v>128</v>
      </c>
      <c r="F49" s="55">
        <v>1278.5202349919996</v>
      </c>
      <c r="G49" s="44" t="s">
        <v>128</v>
      </c>
      <c r="H49" s="55">
        <v>2557.040469983999</v>
      </c>
      <c r="I49" s="44"/>
      <c r="J49">
        <v>20598.381563759995</v>
      </c>
      <c r="K49" s="70">
        <f t="shared" si="4"/>
        <v>24433.942268735995</v>
      </c>
      <c r="L49" s="44"/>
      <c r="N49" s="44"/>
      <c r="O49">
        <v>39466.499076164146</v>
      </c>
      <c r="P49" s="44"/>
      <c r="Q49" s="55">
        <v>1704.6936466559994</v>
      </c>
      <c r="R49" s="47">
        <f t="shared" si="2"/>
        <v>41171.192722820146</v>
      </c>
      <c r="S49" s="44"/>
      <c r="T49" s="55">
        <v>1420.5780388799997</v>
      </c>
      <c r="U49" s="55">
        <v>1420.5780388799997</v>
      </c>
      <c r="W49" s="44"/>
      <c r="X49" s="55">
        <v>150581.27212127997</v>
      </c>
      <c r="Y49" s="55"/>
      <c r="Z49" s="55">
        <v>150581.27212127997</v>
      </c>
      <c r="AA49" s="44"/>
      <c r="AB49" s="55">
        <v>0</v>
      </c>
      <c r="AC49" s="44"/>
      <c r="AD49" s="55">
        <v>7435.305455497918</v>
      </c>
      <c r="AE49" s="44"/>
      <c r="AF49" s="55">
        <v>1153.5093675705596</v>
      </c>
      <c r="AG49" s="55"/>
    </row>
    <row r="50" spans="1:33" ht="12.75">
      <c r="A50">
        <v>19</v>
      </c>
      <c r="B50" t="s">
        <v>53</v>
      </c>
      <c r="C50" s="14">
        <f t="shared" si="1"/>
        <v>474810</v>
      </c>
      <c r="D50" s="19">
        <f t="shared" si="3"/>
        <v>0</v>
      </c>
      <c r="E50" s="44" t="s">
        <v>127</v>
      </c>
      <c r="G50" s="44" t="s">
        <v>127</v>
      </c>
      <c r="H50">
        <v>54354</v>
      </c>
      <c r="I50" s="44"/>
      <c r="J50">
        <v>23013</v>
      </c>
      <c r="K50" s="70">
        <f t="shared" si="4"/>
        <v>77367</v>
      </c>
      <c r="L50" s="44"/>
      <c r="N50" s="44"/>
      <c r="O50">
        <v>1331</v>
      </c>
      <c r="P50" s="44"/>
      <c r="Q50" s="55"/>
      <c r="R50" s="47">
        <f t="shared" si="2"/>
        <v>1331</v>
      </c>
      <c r="S50" s="44"/>
      <c r="T50" s="55">
        <v>28412</v>
      </c>
      <c r="U50" s="55">
        <v>28412</v>
      </c>
      <c r="W50" s="44"/>
      <c r="X50" s="55">
        <v>127852</v>
      </c>
      <c r="Y50" s="55"/>
      <c r="Z50" s="55">
        <v>127852</v>
      </c>
      <c r="AA50" s="44"/>
      <c r="AB50" s="55"/>
      <c r="AC50" s="44"/>
      <c r="AD50" s="55">
        <v>4147</v>
      </c>
      <c r="AE50" s="44"/>
      <c r="AF50" s="55">
        <v>739</v>
      </c>
      <c r="AG50" s="55"/>
    </row>
    <row r="51" spans="1:33" ht="12.75">
      <c r="A51">
        <v>29</v>
      </c>
      <c r="B51" t="s">
        <v>54</v>
      </c>
      <c r="C51" s="14">
        <f t="shared" si="1"/>
        <v>354860</v>
      </c>
      <c r="D51" s="19">
        <f t="shared" si="3"/>
        <v>0</v>
      </c>
      <c r="E51" s="44" t="s">
        <v>127</v>
      </c>
      <c r="F51">
        <v>3267</v>
      </c>
      <c r="G51" s="44" t="s">
        <v>127</v>
      </c>
      <c r="H51">
        <v>29947</v>
      </c>
      <c r="I51" s="44"/>
      <c r="J51">
        <v>14014</v>
      </c>
      <c r="K51" s="70">
        <f>F51+H51</f>
        <v>33214</v>
      </c>
      <c r="L51" s="44">
        <f>J51</f>
        <v>14014</v>
      </c>
      <c r="M51">
        <v>1705</v>
      </c>
      <c r="N51" s="44"/>
      <c r="O51">
        <v>41997</v>
      </c>
      <c r="P51" s="44"/>
      <c r="Q51" s="55">
        <v>9568</v>
      </c>
      <c r="R51" s="47">
        <f t="shared" si="2"/>
        <v>67284</v>
      </c>
      <c r="S51" s="44"/>
      <c r="T51" s="55">
        <v>28412</v>
      </c>
      <c r="U51" s="55">
        <v>28412</v>
      </c>
      <c r="W51" s="44"/>
      <c r="X51" s="55">
        <v>34094</v>
      </c>
      <c r="Y51" s="55"/>
      <c r="Z51" s="55">
        <v>34094</v>
      </c>
      <c r="AA51" s="44"/>
      <c r="AB51" s="55"/>
      <c r="AC51" s="44"/>
      <c r="AD51" s="55">
        <v>10457</v>
      </c>
      <c r="AE51" s="44"/>
      <c r="AF51" s="55">
        <v>4381</v>
      </c>
      <c r="AG51" s="55"/>
    </row>
    <row r="52" spans="1:33" ht="12.75">
      <c r="A52">
        <v>9</v>
      </c>
      <c r="B52" t="s">
        <v>55</v>
      </c>
      <c r="C52" s="14">
        <f t="shared" si="1"/>
        <v>448880</v>
      </c>
      <c r="D52" s="19">
        <f t="shared" si="3"/>
        <v>31889</v>
      </c>
      <c r="E52" s="44" t="s">
        <v>128</v>
      </c>
      <c r="F52">
        <v>9518</v>
      </c>
      <c r="G52" s="44" t="s">
        <v>128</v>
      </c>
      <c r="H52">
        <v>22371</v>
      </c>
      <c r="I52" s="44"/>
      <c r="J52">
        <v>8239</v>
      </c>
      <c r="K52" s="70">
        <f>J52+H52+F52</f>
        <v>40128</v>
      </c>
      <c r="L52" s="44"/>
      <c r="N52" s="44"/>
      <c r="O52">
        <v>5689</v>
      </c>
      <c r="P52" s="44"/>
      <c r="Q52" s="55">
        <v>10171</v>
      </c>
      <c r="R52" s="47">
        <f t="shared" si="2"/>
        <v>15860</v>
      </c>
      <c r="S52" s="44"/>
      <c r="T52" s="55">
        <v>19888</v>
      </c>
      <c r="V52" s="55">
        <v>19888</v>
      </c>
      <c r="W52" s="44"/>
      <c r="X52" s="55">
        <v>127852</v>
      </c>
      <c r="Y52" s="55"/>
      <c r="Z52" s="55">
        <v>127852</v>
      </c>
      <c r="AA52" s="44"/>
      <c r="AB52" s="55"/>
      <c r="AC52" s="44"/>
      <c r="AD52" s="55">
        <v>33972</v>
      </c>
      <c r="AE52" s="44"/>
      <c r="AF52" s="55">
        <v>7452</v>
      </c>
      <c r="AG52" s="55"/>
    </row>
    <row r="53" spans="3:33" ht="12.75">
      <c r="C53" s="55">
        <f aca="true" t="shared" si="5" ref="C53:AB53">SUM(C3:C52)</f>
        <v>34002716.89870707</v>
      </c>
      <c r="D53" s="55">
        <f t="shared" si="5"/>
        <v>1644324.580465055</v>
      </c>
      <c r="E53" s="55">
        <f t="shared" si="5"/>
        <v>0</v>
      </c>
      <c r="F53" s="55">
        <f t="shared" si="5"/>
        <v>124788.53183934401</v>
      </c>
      <c r="G53" s="55">
        <f t="shared" si="5"/>
        <v>0</v>
      </c>
      <c r="H53" s="55">
        <f t="shared" si="5"/>
        <v>1281536.2819530729</v>
      </c>
      <c r="I53" s="55">
        <f>H53+F53</f>
        <v>1406324.8137924168</v>
      </c>
      <c r="J53" s="55">
        <f t="shared" si="5"/>
        <v>540695.0695534879</v>
      </c>
      <c r="K53" s="70">
        <f>SUM(K3:K52)</f>
        <v>1148449.8833459048</v>
      </c>
      <c r="L53" s="55"/>
      <c r="M53" s="55">
        <f t="shared" si="5"/>
        <v>224736</v>
      </c>
      <c r="N53" s="55">
        <f t="shared" si="5"/>
        <v>0</v>
      </c>
      <c r="O53" s="55">
        <f t="shared" si="5"/>
        <v>695901.6455631361</v>
      </c>
      <c r="P53" s="55">
        <f t="shared" si="5"/>
        <v>0</v>
      </c>
      <c r="Q53" s="55">
        <f t="shared" si="5"/>
        <v>602970.7479680956</v>
      </c>
      <c r="R53" s="55">
        <f t="shared" si="5"/>
        <v>2322178.3935312317</v>
      </c>
      <c r="S53" s="55"/>
      <c r="T53" s="55">
        <f>(SUM(T3:T52))-T20</f>
        <v>4168496.986140342</v>
      </c>
      <c r="U53" s="55">
        <f>SUM(U3:U52)</f>
        <v>2087246.57803888</v>
      </c>
      <c r="V53" s="55">
        <f>SUM(V3:V52)</f>
        <v>2081250.4081014623</v>
      </c>
      <c r="W53" s="55">
        <f t="shared" si="5"/>
        <v>0</v>
      </c>
      <c r="X53" s="55">
        <f t="shared" si="5"/>
        <v>3174766.68929696</v>
      </c>
      <c r="Y53" s="55">
        <f>SUM(Y3:Y52)</f>
        <v>1538260.58978848</v>
      </c>
      <c r="Z53" s="55">
        <f>SUM(Z3:Z52)</f>
        <v>1545589.09950848</v>
      </c>
      <c r="AA53" s="55">
        <f t="shared" si="5"/>
        <v>0</v>
      </c>
      <c r="AB53" s="55">
        <f t="shared" si="5"/>
        <v>10243042.817555407</v>
      </c>
      <c r="AC53"/>
      <c r="AD53" s="55">
        <f>SUM(AD3:AD52)</f>
        <v>410671.30585244147</v>
      </c>
      <c r="AE53"/>
      <c r="AF53" s="55">
        <f>SUM(AF3:AF52)</f>
        <v>1013565.8706703488</v>
      </c>
      <c r="AG53" s="55"/>
    </row>
    <row r="54" spans="3:33" ht="12.75">
      <c r="C54" s="55"/>
      <c r="D54" s="55"/>
      <c r="E54" s="55"/>
      <c r="F54" s="55"/>
      <c r="G54" s="55"/>
      <c r="H54" s="55"/>
      <c r="I54" s="55"/>
      <c r="J54" s="55"/>
      <c r="K54" s="70">
        <v>1147498</v>
      </c>
      <c r="L54" s="55"/>
      <c r="M54" s="55"/>
      <c r="N54" s="55"/>
      <c r="O54" s="55"/>
      <c r="P54" s="55"/>
      <c r="Q54" s="55"/>
      <c r="R54" s="55"/>
      <c r="S54" s="55"/>
      <c r="T54" s="55"/>
      <c r="U54" s="55"/>
      <c r="V54" s="55"/>
      <c r="W54" s="55"/>
      <c r="X54" s="55"/>
      <c r="Y54" s="55"/>
      <c r="Z54" s="55"/>
      <c r="AA54" s="55"/>
      <c r="AB54" s="55"/>
      <c r="AC54"/>
      <c r="AD54" s="55"/>
      <c r="AE54"/>
      <c r="AF54" s="55"/>
      <c r="AG54" s="55"/>
    </row>
    <row r="55" spans="3:33" ht="12.75">
      <c r="C55" s="55"/>
      <c r="D55" s="55"/>
      <c r="E55" s="55"/>
      <c r="F55" s="55"/>
      <c r="G55" s="55"/>
      <c r="H55" s="55"/>
      <c r="I55" s="55"/>
      <c r="J55" s="55"/>
      <c r="K55" s="70">
        <f>K53-K54</f>
        <v>951.8833459047601</v>
      </c>
      <c r="L55" s="55"/>
      <c r="M55" s="55"/>
      <c r="N55" s="55"/>
      <c r="O55" s="55"/>
      <c r="P55" s="55"/>
      <c r="Q55" s="55"/>
      <c r="R55" s="55">
        <f>R53+K53</f>
        <v>3470628.2768771364</v>
      </c>
      <c r="S55" s="55"/>
      <c r="T55" s="55"/>
      <c r="U55" s="55"/>
      <c r="V55" s="55"/>
      <c r="W55" s="55"/>
      <c r="X55" s="55">
        <f>3174767/2</f>
        <v>1587383.5</v>
      </c>
      <c r="Y55" s="55"/>
      <c r="Z55" s="55">
        <f>(Z53-Y53)/2</f>
        <v>3664.2548599999864</v>
      </c>
      <c r="AA55" s="55"/>
      <c r="AB55" s="55"/>
      <c r="AC55"/>
      <c r="AD55" s="55"/>
      <c r="AE55"/>
      <c r="AF55" s="55"/>
      <c r="AG55" s="55"/>
    </row>
    <row r="56" spans="3:33" ht="12.75">
      <c r="C56" s="55"/>
      <c r="D56" s="55"/>
      <c r="E56" s="55"/>
      <c r="F56" s="55"/>
      <c r="G56" s="55"/>
      <c r="H56" s="55"/>
      <c r="I56" s="55"/>
      <c r="J56" s="55"/>
      <c r="K56" s="70"/>
      <c r="L56" s="55"/>
      <c r="M56" s="55"/>
      <c r="N56" s="55"/>
      <c r="O56" s="55"/>
      <c r="P56" s="55"/>
      <c r="Q56" s="55"/>
      <c r="R56" s="55">
        <v>3470618</v>
      </c>
      <c r="S56" s="55"/>
      <c r="T56" s="55"/>
      <c r="U56" s="55"/>
      <c r="V56" s="55"/>
      <c r="W56" s="55"/>
      <c r="X56" s="55"/>
      <c r="Y56" s="55"/>
      <c r="Z56" s="55"/>
      <c r="AA56" s="55"/>
      <c r="AB56" s="55"/>
      <c r="AC56"/>
      <c r="AD56" s="55"/>
      <c r="AE56"/>
      <c r="AF56" s="55"/>
      <c r="AG56" s="55"/>
    </row>
    <row r="57" spans="3:33" ht="12.75">
      <c r="C57" s="55"/>
      <c r="D57" s="55"/>
      <c r="E57" s="55"/>
      <c r="F57" s="55"/>
      <c r="G57" s="55"/>
      <c r="H57" s="55"/>
      <c r="I57" s="55"/>
      <c r="J57" s="55"/>
      <c r="K57" s="70"/>
      <c r="L57" s="55"/>
      <c r="M57" s="55"/>
      <c r="N57" s="55"/>
      <c r="O57" s="55"/>
      <c r="P57" s="55"/>
      <c r="Q57" s="55"/>
      <c r="R57" s="55">
        <f>R56-R55</f>
        <v>-10.27687713643536</v>
      </c>
      <c r="S57" s="55"/>
      <c r="T57" s="55"/>
      <c r="U57" s="55"/>
      <c r="V57" s="55"/>
      <c r="W57" s="55"/>
      <c r="X57" s="55"/>
      <c r="Y57" s="55"/>
      <c r="Z57" s="55"/>
      <c r="AA57" s="55"/>
      <c r="AB57" s="55"/>
      <c r="AC57"/>
      <c r="AD57" s="55"/>
      <c r="AE57"/>
      <c r="AF57" s="55"/>
      <c r="AG57" s="55"/>
    </row>
    <row r="58" spans="1:33" ht="12.75">
      <c r="A58" s="22"/>
      <c r="B58" s="23" t="s">
        <v>110</v>
      </c>
      <c r="C58" s="24"/>
      <c r="D58" s="24"/>
      <c r="E58" s="46"/>
      <c r="F58" s="22"/>
      <c r="G58" s="49"/>
      <c r="H58" s="22"/>
      <c r="I58" s="49"/>
      <c r="J58" s="22"/>
      <c r="K58" s="22"/>
      <c r="L58" s="49"/>
      <c r="M58" s="22"/>
      <c r="N58" s="49"/>
      <c r="O58" s="22"/>
      <c r="P58" s="49"/>
      <c r="Q58" s="22"/>
      <c r="R58" s="49" t="s">
        <v>195</v>
      </c>
      <c r="S58" s="49"/>
      <c r="T58" s="22"/>
      <c r="U58" s="22"/>
      <c r="V58" s="22"/>
      <c r="W58" s="49"/>
      <c r="X58" s="22"/>
      <c r="Y58" s="22"/>
      <c r="Z58" s="22"/>
      <c r="AA58" s="49"/>
      <c r="AB58" s="22"/>
      <c r="AC58" s="49"/>
      <c r="AD58" s="22"/>
      <c r="AE58" s="49"/>
      <c r="AF58" s="22"/>
      <c r="AG58" s="22" t="s">
        <v>196</v>
      </c>
    </row>
    <row r="59" spans="1:34" ht="12.75">
      <c r="A59" s="8">
        <v>47</v>
      </c>
      <c r="B59" s="7" t="s">
        <v>76</v>
      </c>
      <c r="C59" s="14">
        <f aca="true" t="shared" si="6" ref="C59:C77">SUM(F59:AF59)</f>
        <v>188173</v>
      </c>
      <c r="D59" s="19">
        <f>IF(E59="X",F59,0)+IF(G59="X",H59,0)+IF(I59="X",J59,0)+IF(L59="X",M59,0)+IF(N59="X",O59,0)+IF(P59="X",Q59,0)+IF(R59="X",T59,0)+IF(W59="X",X59,0)+IF(AA59="X",AB59,0)+IF(AC59="X",AD59,0)+IF(AE59="X",AF59,0)</f>
        <v>37503</v>
      </c>
      <c r="E59" s="44" t="s">
        <v>128</v>
      </c>
      <c r="F59">
        <v>2557</v>
      </c>
      <c r="G59" s="47" t="s">
        <v>128</v>
      </c>
      <c r="H59">
        <v>25286</v>
      </c>
      <c r="I59" s="47" t="s">
        <v>128</v>
      </c>
      <c r="J59">
        <v>9660</v>
      </c>
      <c r="L59" s="47" t="s">
        <v>128</v>
      </c>
      <c r="O59">
        <v>38256</v>
      </c>
      <c r="Q59">
        <v>2990</v>
      </c>
      <c r="R59" s="47">
        <f>Q59+O59</f>
        <v>41246</v>
      </c>
      <c r="T59" s="26"/>
      <c r="U59" s="26"/>
      <c r="V59" s="26"/>
      <c r="X59">
        <v>49436</v>
      </c>
      <c r="AD59">
        <v>15665</v>
      </c>
      <c r="AF59">
        <v>3077</v>
      </c>
      <c r="AG59">
        <f>SUM(AD59:AF59)</f>
        <v>18742</v>
      </c>
      <c r="AH59">
        <f>SUM(F59:AF59)</f>
        <v>188173</v>
      </c>
    </row>
    <row r="60" spans="1:34" ht="12.75">
      <c r="A60" s="8"/>
      <c r="B60" s="7" t="s">
        <v>77</v>
      </c>
      <c r="C60" s="14">
        <f t="shared" si="6"/>
        <v>252066</v>
      </c>
      <c r="D60" s="19">
        <f>IF(E60="X",F60,0)+IF(G60="X",H60,0)+IF(I60="X",J60,0)+IF(L60="X",M60,0)+IF(N60="X",O60,0)+IF(P60="X",Q60,0)+IF(R60="X",T60,0)+IF(W60="X",X60,0)+IF(AA60="X",AB60,0)+IF(AC60="X",AD60,0)+IF(AE60="X",AF60,0)</f>
        <v>102589</v>
      </c>
      <c r="E60" s="44" t="s">
        <v>128</v>
      </c>
      <c r="F60">
        <v>1705</v>
      </c>
      <c r="G60" s="47" t="s">
        <v>128</v>
      </c>
      <c r="H60">
        <v>100884</v>
      </c>
      <c r="I60" s="47" t="s">
        <v>128</v>
      </c>
      <c r="J60">
        <v>0</v>
      </c>
      <c r="L60" s="47" t="s">
        <v>128</v>
      </c>
      <c r="M60">
        <v>0</v>
      </c>
      <c r="O60">
        <v>0</v>
      </c>
      <c r="R60" s="47" t="s">
        <v>127</v>
      </c>
      <c r="T60" s="26"/>
      <c r="U60" s="26"/>
      <c r="V60" s="26"/>
      <c r="X60">
        <v>82038</v>
      </c>
      <c r="AD60">
        <v>60041</v>
      </c>
      <c r="AF60">
        <v>7398</v>
      </c>
      <c r="AG60">
        <f aca="true" t="shared" si="7" ref="AG60:AG77">SUM(AD60:AF60)</f>
        <v>67439</v>
      </c>
      <c r="AH60">
        <f aca="true" t="shared" si="8" ref="AH60:AH77">SUM(F60:AF60)</f>
        <v>252066</v>
      </c>
    </row>
    <row r="61" spans="1:34" ht="12.75">
      <c r="A61" s="9" t="s">
        <v>78</v>
      </c>
      <c r="B61" t="s">
        <v>79</v>
      </c>
      <c r="C61" s="14">
        <f t="shared" si="6"/>
        <v>0</v>
      </c>
      <c r="D61" s="19">
        <f>IF(E61="X",F61,0)+IF(G61="X",H61,0)+IF(I61="X",J61,0)+IF(L61="X",M61,0)+IF(N61="X",O61,0)+IF(P61="X",Q61,0)+IF(R61="X",T61,0)+IF(W61="X",X61,0)+IF(AA61="X",AB61,0)+IF(AC61="X",AD61,0)+IF(AE61="X",AF61,0)</f>
        <v>0</v>
      </c>
      <c r="E61" s="44" t="s">
        <v>128</v>
      </c>
      <c r="G61" s="47" t="s">
        <v>128</v>
      </c>
      <c r="I61" s="47" t="s">
        <v>128</v>
      </c>
      <c r="L61" s="47" t="s">
        <v>128</v>
      </c>
      <c r="R61" s="47" t="s">
        <v>127</v>
      </c>
      <c r="T61" s="26"/>
      <c r="U61" s="26"/>
      <c r="V61" s="26"/>
      <c r="AG61">
        <f t="shared" si="7"/>
        <v>0</v>
      </c>
      <c r="AH61">
        <f t="shared" si="8"/>
        <v>0</v>
      </c>
    </row>
    <row r="62" spans="1:34" ht="12.75">
      <c r="A62" s="9" t="s">
        <v>87</v>
      </c>
      <c r="B62" t="s">
        <v>95</v>
      </c>
      <c r="C62" s="14">
        <f t="shared" si="6"/>
        <v>81773</v>
      </c>
      <c r="D62" s="19">
        <f>IF(E62="X",F62,0)+IF(G62="X",H62,0)+IF(I62="X",J62,0)+IF(L62="X",M62,0)+IF(N62="X",O62,0)+IF(P62="X",Q62,0)+IF(R62="X",T62,0)+IF(W62="X",X62,0)+IF(AA62="X",AB62,0)+IF(AC62="X",AD62,0)+IF(AE62="X",AF62,0)</f>
        <v>43327</v>
      </c>
      <c r="E62" s="44" t="s">
        <v>128</v>
      </c>
      <c r="F62">
        <v>71</v>
      </c>
      <c r="G62" s="47" t="s">
        <v>128</v>
      </c>
      <c r="I62" s="47" t="s">
        <v>128</v>
      </c>
      <c r="J62">
        <v>639</v>
      </c>
      <c r="L62" s="47" t="s">
        <v>128</v>
      </c>
      <c r="M62">
        <v>42617</v>
      </c>
      <c r="O62">
        <v>7361</v>
      </c>
      <c r="Q62">
        <v>142</v>
      </c>
      <c r="R62" s="47">
        <f>Q62+O62</f>
        <v>7503</v>
      </c>
      <c r="T62" s="26"/>
      <c r="U62" s="26"/>
      <c r="V62" s="26"/>
      <c r="X62">
        <v>23440</v>
      </c>
      <c r="AG62">
        <f t="shared" si="7"/>
        <v>0</v>
      </c>
      <c r="AH62">
        <f t="shared" si="8"/>
        <v>81773</v>
      </c>
    </row>
    <row r="63" spans="1:34" ht="12.75">
      <c r="A63" s="9" t="s">
        <v>147</v>
      </c>
      <c r="B63" t="s">
        <v>148</v>
      </c>
      <c r="C63" s="14"/>
      <c r="D63" s="19"/>
      <c r="E63" s="44" t="s">
        <v>128</v>
      </c>
      <c r="G63" s="47" t="s">
        <v>128</v>
      </c>
      <c r="I63" s="47" t="s">
        <v>128</v>
      </c>
      <c r="L63" s="47" t="s">
        <v>128</v>
      </c>
      <c r="T63" s="26"/>
      <c r="U63" s="26"/>
      <c r="V63" s="26"/>
      <c r="AG63">
        <f t="shared" si="7"/>
        <v>0</v>
      </c>
      <c r="AH63">
        <f t="shared" si="8"/>
        <v>0</v>
      </c>
    </row>
    <row r="64" spans="1:34" ht="12.75">
      <c r="A64" s="9" t="s">
        <v>80</v>
      </c>
      <c r="B64" t="s">
        <v>88</v>
      </c>
      <c r="C64" s="14">
        <f t="shared" si="6"/>
        <v>126145</v>
      </c>
      <c r="D64" s="19">
        <f aca="true" t="shared" si="9" ref="D64:D77">IF(E64="X",F64,0)+IF(G64="X",H64,0)+IF(I64="X",J64,0)+IF(L64="X",M64,0)+IF(N64="X",O64,0)+IF(P64="X",Q64,0)+IF(R64="X",T64,0)+IF(W64="X",X64,0)+IF(AA64="X",AB64,0)+IF(AC64="X",AD64,0)+IF(AE64="X",AF64,0)</f>
        <v>77941</v>
      </c>
      <c r="E64" s="44" t="s">
        <v>128</v>
      </c>
      <c r="F64">
        <v>1634</v>
      </c>
      <c r="G64" s="47" t="s">
        <v>128</v>
      </c>
      <c r="H64">
        <v>19692</v>
      </c>
      <c r="I64" s="47" t="s">
        <v>128</v>
      </c>
      <c r="J64">
        <v>13998</v>
      </c>
      <c r="L64" s="47" t="s">
        <v>128</v>
      </c>
      <c r="M64">
        <v>42617</v>
      </c>
      <c r="O64">
        <v>7388</v>
      </c>
      <c r="Q64">
        <v>994</v>
      </c>
      <c r="R64" s="47">
        <f>Q64+O64</f>
        <v>8382</v>
      </c>
      <c r="T64" s="26"/>
      <c r="U64" s="26"/>
      <c r="V64" s="26"/>
      <c r="X64">
        <v>23440</v>
      </c>
      <c r="AD64">
        <v>7219</v>
      </c>
      <c r="AF64">
        <v>781</v>
      </c>
      <c r="AG64">
        <f t="shared" si="7"/>
        <v>8000</v>
      </c>
      <c r="AH64">
        <f t="shared" si="8"/>
        <v>126145</v>
      </c>
    </row>
    <row r="65" spans="1:34" ht="12.75">
      <c r="A65" s="9" t="s">
        <v>81</v>
      </c>
      <c r="B65" t="s">
        <v>89</v>
      </c>
      <c r="C65" s="14">
        <f t="shared" si="6"/>
        <v>54903</v>
      </c>
      <c r="D65" s="19">
        <f t="shared" si="9"/>
        <v>2344</v>
      </c>
      <c r="E65" s="44" t="s">
        <v>128</v>
      </c>
      <c r="F65">
        <v>2344</v>
      </c>
      <c r="G65" s="47" t="s">
        <v>128</v>
      </c>
      <c r="H65">
        <v>0</v>
      </c>
      <c r="I65" s="47" t="s">
        <v>128</v>
      </c>
      <c r="J65">
        <v>0</v>
      </c>
      <c r="L65" s="47" t="s">
        <v>128</v>
      </c>
      <c r="M65">
        <v>0</v>
      </c>
      <c r="O65">
        <v>0</v>
      </c>
      <c r="Q65">
        <v>0</v>
      </c>
      <c r="R65" s="47" t="s">
        <v>127</v>
      </c>
      <c r="T65" s="26"/>
      <c r="U65" s="26"/>
      <c r="V65" s="26"/>
      <c r="X65">
        <v>23440</v>
      </c>
      <c r="AD65">
        <v>14207</v>
      </c>
      <c r="AF65">
        <v>14912</v>
      </c>
      <c r="AG65">
        <f t="shared" si="7"/>
        <v>29119</v>
      </c>
      <c r="AH65">
        <f t="shared" si="8"/>
        <v>54903</v>
      </c>
    </row>
    <row r="66" spans="1:34" ht="12.75">
      <c r="A66" s="9" t="s">
        <v>82</v>
      </c>
      <c r="B66" t="s">
        <v>90</v>
      </c>
      <c r="C66" s="14">
        <f t="shared" si="6"/>
        <v>95276</v>
      </c>
      <c r="D66" s="19">
        <f t="shared" si="9"/>
        <v>56599</v>
      </c>
      <c r="E66" s="44" t="s">
        <v>128</v>
      </c>
      <c r="F66">
        <v>3512</v>
      </c>
      <c r="G66" s="47" t="s">
        <v>128</v>
      </c>
      <c r="H66">
        <v>905</v>
      </c>
      <c r="I66" s="47" t="s">
        <v>128</v>
      </c>
      <c r="J66">
        <v>9565</v>
      </c>
      <c r="L66" s="47" t="s">
        <v>128</v>
      </c>
      <c r="M66">
        <v>42617</v>
      </c>
      <c r="Q66">
        <v>2557</v>
      </c>
      <c r="R66" s="47">
        <f>Q66+O66</f>
        <v>2557</v>
      </c>
      <c r="T66" s="26"/>
      <c r="U66" s="26"/>
      <c r="V66" s="26"/>
      <c r="X66">
        <v>23724</v>
      </c>
      <c r="AD66">
        <v>2455</v>
      </c>
      <c r="AF66">
        <v>7384</v>
      </c>
      <c r="AG66">
        <f t="shared" si="7"/>
        <v>9839</v>
      </c>
      <c r="AH66">
        <f t="shared" si="8"/>
        <v>95276</v>
      </c>
    </row>
    <row r="67" spans="1:34" ht="12.75">
      <c r="A67" s="9" t="s">
        <v>83</v>
      </c>
      <c r="B67" t="s">
        <v>91</v>
      </c>
      <c r="C67" s="14">
        <f t="shared" si="6"/>
        <v>117802</v>
      </c>
      <c r="D67" s="19">
        <f t="shared" si="9"/>
        <v>74969</v>
      </c>
      <c r="E67" s="44" t="s">
        <v>128</v>
      </c>
      <c r="F67">
        <v>2273</v>
      </c>
      <c r="G67" s="47" t="s">
        <v>128</v>
      </c>
      <c r="H67">
        <v>1236</v>
      </c>
      <c r="I67" s="47" t="s">
        <v>128</v>
      </c>
      <c r="J67">
        <v>28843</v>
      </c>
      <c r="L67" s="47" t="s">
        <v>128</v>
      </c>
      <c r="M67">
        <v>42617</v>
      </c>
      <c r="O67">
        <v>7602</v>
      </c>
      <c r="Q67">
        <v>426</v>
      </c>
      <c r="R67" s="47">
        <f>Q67+O67</f>
        <v>8028</v>
      </c>
      <c r="T67" s="26"/>
      <c r="U67" s="26"/>
      <c r="V67" s="26"/>
      <c r="X67">
        <v>23866</v>
      </c>
      <c r="AD67">
        <v>980</v>
      </c>
      <c r="AF67">
        <v>1931</v>
      </c>
      <c r="AG67">
        <f t="shared" si="7"/>
        <v>2911</v>
      </c>
      <c r="AH67">
        <f t="shared" si="8"/>
        <v>117802</v>
      </c>
    </row>
    <row r="68" spans="1:34" ht="12.75">
      <c r="A68" s="9" t="s">
        <v>84</v>
      </c>
      <c r="B68" t="s">
        <v>92</v>
      </c>
      <c r="C68" s="14">
        <f t="shared" si="6"/>
        <v>0</v>
      </c>
      <c r="D68" s="19">
        <f t="shared" si="9"/>
        <v>0</v>
      </c>
      <c r="E68" s="44" t="s">
        <v>128</v>
      </c>
      <c r="G68" s="47" t="s">
        <v>128</v>
      </c>
      <c r="I68" s="47" t="s">
        <v>128</v>
      </c>
      <c r="L68" s="47" t="s">
        <v>128</v>
      </c>
      <c r="T68" s="26"/>
      <c r="U68" s="26"/>
      <c r="V68" s="26"/>
      <c r="AG68">
        <f t="shared" si="7"/>
        <v>0</v>
      </c>
      <c r="AH68">
        <f t="shared" si="8"/>
        <v>0</v>
      </c>
    </row>
    <row r="69" spans="1:34" ht="12.75">
      <c r="A69" s="9" t="s">
        <v>85</v>
      </c>
      <c r="B69" t="s">
        <v>93</v>
      </c>
      <c r="C69" s="14">
        <f t="shared" si="6"/>
        <v>86540</v>
      </c>
      <c r="D69" s="19">
        <f t="shared" si="9"/>
        <v>48229</v>
      </c>
      <c r="E69" s="44" t="s">
        <v>128</v>
      </c>
      <c r="F69">
        <v>1634</v>
      </c>
      <c r="G69" s="47" t="s">
        <v>128</v>
      </c>
      <c r="I69" s="47" t="s">
        <v>128</v>
      </c>
      <c r="J69">
        <v>3978</v>
      </c>
      <c r="L69" s="47" t="s">
        <v>128</v>
      </c>
      <c r="M69">
        <v>42617</v>
      </c>
      <c r="O69">
        <v>7116</v>
      </c>
      <c r="R69" s="47">
        <f>Q69+O69</f>
        <v>7116</v>
      </c>
      <c r="T69" s="26"/>
      <c r="U69" s="26"/>
      <c r="V69" s="26"/>
      <c r="X69">
        <v>24008</v>
      </c>
      <c r="AD69">
        <v>71</v>
      </c>
      <c r="AG69">
        <f t="shared" si="7"/>
        <v>71</v>
      </c>
      <c r="AH69">
        <f t="shared" si="8"/>
        <v>86540</v>
      </c>
    </row>
    <row r="70" spans="1:34" ht="12.75">
      <c r="A70" s="9" t="s">
        <v>86</v>
      </c>
      <c r="B70" t="s">
        <v>94</v>
      </c>
      <c r="C70" s="14">
        <f t="shared" si="6"/>
        <v>71785</v>
      </c>
      <c r="D70" s="19">
        <f t="shared" si="9"/>
        <v>43966</v>
      </c>
      <c r="E70" s="44" t="s">
        <v>128</v>
      </c>
      <c r="G70" s="47" t="s">
        <v>128</v>
      </c>
      <c r="H70">
        <v>355</v>
      </c>
      <c r="I70" s="47" t="s">
        <v>128</v>
      </c>
      <c r="J70">
        <v>994</v>
      </c>
      <c r="L70" s="47" t="s">
        <v>128</v>
      </c>
      <c r="M70">
        <v>42617</v>
      </c>
      <c r="O70">
        <v>723</v>
      </c>
      <c r="Q70">
        <v>426</v>
      </c>
      <c r="R70" s="47">
        <f>Q70+O70</f>
        <v>1149</v>
      </c>
      <c r="T70" s="26"/>
      <c r="U70" s="26"/>
      <c r="V70" s="26"/>
      <c r="X70">
        <v>23440</v>
      </c>
      <c r="AF70">
        <v>2081</v>
      </c>
      <c r="AG70">
        <f t="shared" si="7"/>
        <v>2081</v>
      </c>
      <c r="AH70">
        <f t="shared" si="8"/>
        <v>71785</v>
      </c>
    </row>
    <row r="71" spans="1:34" ht="12.75">
      <c r="A71" s="8">
        <v>87</v>
      </c>
      <c r="B71" s="7" t="s">
        <v>75</v>
      </c>
      <c r="C71" s="14">
        <f t="shared" si="6"/>
        <v>270064</v>
      </c>
      <c r="D71" s="19">
        <f t="shared" si="9"/>
        <v>38789</v>
      </c>
      <c r="E71" s="44" t="s">
        <v>128</v>
      </c>
      <c r="F71">
        <v>1705</v>
      </c>
      <c r="G71" s="47" t="s">
        <v>128</v>
      </c>
      <c r="H71">
        <v>37084</v>
      </c>
      <c r="J71">
        <v>21753</v>
      </c>
      <c r="L71" s="47" t="s">
        <v>128</v>
      </c>
      <c r="O71">
        <v>38331</v>
      </c>
      <c r="Q71">
        <v>426</v>
      </c>
      <c r="R71" s="47">
        <f>Q71+O71+J71</f>
        <v>60510</v>
      </c>
      <c r="T71" s="26"/>
      <c r="U71" s="26"/>
      <c r="V71" s="26"/>
      <c r="X71">
        <v>93758</v>
      </c>
      <c r="AD71">
        <v>4806</v>
      </c>
      <c r="AF71">
        <v>11691</v>
      </c>
      <c r="AG71">
        <f t="shared" si="7"/>
        <v>16497</v>
      </c>
      <c r="AH71">
        <f t="shared" si="8"/>
        <v>270064</v>
      </c>
    </row>
    <row r="72" spans="1:34" ht="12.75">
      <c r="A72" s="8">
        <v>87</v>
      </c>
      <c r="B72" s="7" t="s">
        <v>96</v>
      </c>
      <c r="C72" s="14">
        <f t="shared" si="6"/>
        <v>7137</v>
      </c>
      <c r="D72" s="19">
        <f t="shared" si="9"/>
        <v>0</v>
      </c>
      <c r="E72" s="44" t="s">
        <v>128</v>
      </c>
      <c r="F72">
        <v>0</v>
      </c>
      <c r="G72" s="47" t="s">
        <v>128</v>
      </c>
      <c r="H72">
        <v>0</v>
      </c>
      <c r="J72">
        <v>0</v>
      </c>
      <c r="L72" s="47" t="s">
        <v>128</v>
      </c>
      <c r="M72">
        <v>0</v>
      </c>
      <c r="O72">
        <v>0</v>
      </c>
      <c r="Q72">
        <v>0</v>
      </c>
      <c r="T72" s="26"/>
      <c r="U72" s="26"/>
      <c r="V72" s="26"/>
      <c r="X72">
        <v>0</v>
      </c>
      <c r="AD72">
        <v>3321</v>
      </c>
      <c r="AF72">
        <v>3816</v>
      </c>
      <c r="AG72">
        <f t="shared" si="7"/>
        <v>7137</v>
      </c>
      <c r="AH72">
        <f t="shared" si="8"/>
        <v>7137</v>
      </c>
    </row>
    <row r="73" spans="1:34" ht="12.75">
      <c r="A73" s="8">
        <v>137</v>
      </c>
      <c r="B73" s="7" t="s">
        <v>70</v>
      </c>
      <c r="C73" s="14">
        <f t="shared" si="6"/>
        <v>227632</v>
      </c>
      <c r="D73" s="19">
        <f t="shared" si="9"/>
        <v>45353</v>
      </c>
      <c r="E73" s="44" t="s">
        <v>128</v>
      </c>
      <c r="F73">
        <v>22455</v>
      </c>
      <c r="G73" s="47" t="s">
        <v>128</v>
      </c>
      <c r="H73">
        <v>7840</v>
      </c>
      <c r="I73" s="47" t="s">
        <v>128</v>
      </c>
      <c r="J73">
        <v>14206</v>
      </c>
      <c r="L73" s="47" t="s">
        <v>128</v>
      </c>
      <c r="M73">
        <v>852</v>
      </c>
      <c r="O73">
        <v>38434</v>
      </c>
      <c r="Q73">
        <v>7863</v>
      </c>
      <c r="R73" s="47">
        <f>Q73+O73</f>
        <v>46297</v>
      </c>
      <c r="T73" s="26"/>
      <c r="U73" s="26"/>
      <c r="V73" s="26"/>
      <c r="X73">
        <v>70319</v>
      </c>
      <c r="AD73">
        <v>3215</v>
      </c>
      <c r="AF73">
        <v>16151</v>
      </c>
      <c r="AG73">
        <f t="shared" si="7"/>
        <v>19366</v>
      </c>
      <c r="AH73">
        <f t="shared" si="8"/>
        <v>227632</v>
      </c>
    </row>
    <row r="74" spans="1:34" ht="12.75">
      <c r="A74" s="8">
        <v>157</v>
      </c>
      <c r="B74" s="7" t="s">
        <v>71</v>
      </c>
      <c r="C74" s="14">
        <f t="shared" si="6"/>
        <v>0</v>
      </c>
      <c r="D74" s="19">
        <f t="shared" si="9"/>
        <v>0</v>
      </c>
      <c r="E74" s="44" t="s">
        <v>128</v>
      </c>
      <c r="G74" s="47" t="s">
        <v>128</v>
      </c>
      <c r="L74" s="47" t="s">
        <v>128</v>
      </c>
      <c r="T74" s="26"/>
      <c r="U74" s="26"/>
      <c r="V74" s="26"/>
      <c r="AG74">
        <f t="shared" si="7"/>
        <v>0</v>
      </c>
      <c r="AH74">
        <f t="shared" si="8"/>
        <v>0</v>
      </c>
    </row>
    <row r="75" spans="1:34" ht="12.75">
      <c r="A75" s="8">
        <v>127</v>
      </c>
      <c r="B75" s="7" t="s">
        <v>69</v>
      </c>
      <c r="C75" s="14">
        <f t="shared" si="6"/>
        <v>460151</v>
      </c>
      <c r="D75" s="19">
        <f t="shared" si="9"/>
        <v>37543</v>
      </c>
      <c r="E75" s="44" t="s">
        <v>128</v>
      </c>
      <c r="F75">
        <f>F9</f>
        <v>852</v>
      </c>
      <c r="G75" s="47" t="s">
        <v>128</v>
      </c>
      <c r="H75">
        <f>H9</f>
        <v>34986</v>
      </c>
      <c r="J75">
        <f>J9</f>
        <v>7245</v>
      </c>
      <c r="L75" s="47" t="s">
        <v>128</v>
      </c>
      <c r="M75">
        <f>M9</f>
        <v>1705</v>
      </c>
      <c r="O75">
        <f>O9</f>
        <v>79726</v>
      </c>
      <c r="Q75">
        <f>Q9</f>
        <v>38782</v>
      </c>
      <c r="R75" s="47">
        <f>Q75+O75+J75</f>
        <v>125753</v>
      </c>
      <c r="T75">
        <f>T9</f>
        <v>0</v>
      </c>
      <c r="X75">
        <f>X9</f>
        <v>90917</v>
      </c>
      <c r="AD75">
        <f>AD9</f>
        <v>46621</v>
      </c>
      <c r="AF75">
        <f>AF9</f>
        <v>33564</v>
      </c>
      <c r="AG75">
        <f t="shared" si="7"/>
        <v>80185</v>
      </c>
      <c r="AH75">
        <f t="shared" si="8"/>
        <v>460151</v>
      </c>
    </row>
    <row r="76" spans="1:34" ht="12.75">
      <c r="A76" s="8">
        <v>117</v>
      </c>
      <c r="B76" s="7" t="s">
        <v>72</v>
      </c>
      <c r="C76" s="14">
        <f t="shared" si="6"/>
        <v>150873</v>
      </c>
      <c r="D76" s="19">
        <f t="shared" si="9"/>
        <v>32261</v>
      </c>
      <c r="E76" s="44" t="s">
        <v>128</v>
      </c>
      <c r="F76">
        <v>284</v>
      </c>
      <c r="G76" s="47" t="s">
        <v>128</v>
      </c>
      <c r="H76">
        <v>31977</v>
      </c>
      <c r="J76">
        <v>15484</v>
      </c>
      <c r="L76" s="47" t="s">
        <v>128</v>
      </c>
      <c r="O76">
        <v>16489</v>
      </c>
      <c r="Q76">
        <v>1321</v>
      </c>
      <c r="R76" s="47">
        <f>Q76+O76+J76</f>
        <v>33294</v>
      </c>
      <c r="T76" s="26"/>
      <c r="U76" s="26"/>
      <c r="V76" s="26"/>
      <c r="W76" s="47" t="s">
        <v>127</v>
      </c>
      <c r="X76">
        <v>35159</v>
      </c>
      <c r="AC76" s="47" t="s">
        <v>127</v>
      </c>
      <c r="AD76">
        <v>7212</v>
      </c>
      <c r="AE76" s="47" t="s">
        <v>127</v>
      </c>
      <c r="AF76">
        <v>9653</v>
      </c>
      <c r="AG76">
        <f t="shared" si="7"/>
        <v>16865</v>
      </c>
      <c r="AH76">
        <f t="shared" si="8"/>
        <v>150873</v>
      </c>
    </row>
    <row r="77" spans="1:34" ht="12.75">
      <c r="A77" s="11">
        <v>97</v>
      </c>
      <c r="B77" s="12" t="s">
        <v>73</v>
      </c>
      <c r="C77" s="14">
        <f t="shared" si="6"/>
        <v>149267</v>
      </c>
      <c r="D77" s="19">
        <f t="shared" si="9"/>
        <v>84863</v>
      </c>
      <c r="E77" s="44" t="s">
        <v>128</v>
      </c>
      <c r="F77">
        <v>1634</v>
      </c>
      <c r="G77" s="47" t="s">
        <v>128</v>
      </c>
      <c r="H77">
        <v>83229</v>
      </c>
      <c r="J77">
        <v>0</v>
      </c>
      <c r="L77" s="47" t="s">
        <v>128</v>
      </c>
      <c r="M77">
        <v>0</v>
      </c>
      <c r="O77">
        <v>0</v>
      </c>
      <c r="Q77">
        <v>0</v>
      </c>
      <c r="T77" s="26"/>
      <c r="U77" s="26"/>
      <c r="V77" s="26"/>
      <c r="X77">
        <v>35159</v>
      </c>
      <c r="AD77">
        <v>27194</v>
      </c>
      <c r="AF77">
        <v>2051</v>
      </c>
      <c r="AG77">
        <f t="shared" si="7"/>
        <v>29245</v>
      </c>
      <c r="AH77">
        <f t="shared" si="8"/>
        <v>149267</v>
      </c>
    </row>
    <row r="78" spans="4:33" ht="12.75">
      <c r="D78" s="74">
        <f>SUM(D59:D77)</f>
        <v>726276</v>
      </c>
      <c r="F78">
        <f>SUM(F59:F77)</f>
        <v>42660</v>
      </c>
      <c r="H78">
        <f>SUM(H59:H77)</f>
        <v>343474</v>
      </c>
      <c r="J78">
        <f>SUM(J59:J77)</f>
        <v>126365</v>
      </c>
      <c r="M78">
        <f>SUM(M59:M77)</f>
        <v>258259</v>
      </c>
      <c r="O78">
        <f>SUM(O59:O77)</f>
        <v>241426</v>
      </c>
      <c r="Q78">
        <f>SUM(Q59:Q77)</f>
        <v>55927</v>
      </c>
      <c r="R78" s="47">
        <f>SUM(R59:R77)</f>
        <v>341835</v>
      </c>
      <c r="AD78">
        <f>SUM(AD59:AD77)</f>
        <v>193007</v>
      </c>
      <c r="AF78">
        <f>SUM(AF59:AF77)</f>
        <v>114490</v>
      </c>
      <c r="AG78">
        <f>SUM(AG59:AG77)</f>
        <v>307497</v>
      </c>
    </row>
    <row r="80" spans="4:33" ht="12.75">
      <c r="D80" s="75"/>
      <c r="AG80">
        <f>AF78+AD78</f>
        <v>307497</v>
      </c>
    </row>
    <row r="81" spans="3:4" ht="12.75">
      <c r="C81" t="s">
        <v>192</v>
      </c>
      <c r="D81" s="75">
        <f>D78</f>
        <v>726276</v>
      </c>
    </row>
    <row r="82" spans="3:4" ht="12.75">
      <c r="C82" t="s">
        <v>193</v>
      </c>
      <c r="D82" s="75">
        <f>J71+J75+J76+O59+O62+O64+O67+O69+O70+O71+O73+O75+O76+Q76+Q75+Q73+Q71+Q70+Q67+Q66+Q64+Q62+Q59</f>
        <v>341835</v>
      </c>
    </row>
    <row r="83" spans="3:4" ht="12.75">
      <c r="C83" t="s">
        <v>194</v>
      </c>
      <c r="D83" s="75">
        <f>SUM(D81:D82)</f>
        <v>1068111</v>
      </c>
    </row>
    <row r="84" ht="12.75">
      <c r="D84" s="75"/>
    </row>
    <row r="85" ht="12.75">
      <c r="D85">
        <f>F78+H78+J78+M78+O78+Q78</f>
        <v>1068111</v>
      </c>
    </row>
  </sheetData>
  <sheetProtection selectLockedCells="1"/>
  <mergeCells count="1">
    <mergeCell ref="A1:B1"/>
  </mergeCells>
  <printOptions/>
  <pageMargins left="0.75" right="2.79" top="1" bottom="1" header="0.5" footer="0.5"/>
  <pageSetup fitToHeight="1" fitToWidth="1" horizontalDpi="300" verticalDpi="300" orientation="landscape" paperSize="5"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S. Gaull</dc:creator>
  <cp:keywords/>
  <dc:description/>
  <cp:lastModifiedBy>rbarth</cp:lastModifiedBy>
  <cp:lastPrinted>2003-11-30T18:26:46Z</cp:lastPrinted>
  <dcterms:created xsi:type="dcterms:W3CDTF">2003-08-01T01:14:23Z</dcterms:created>
  <dcterms:modified xsi:type="dcterms:W3CDTF">2003-11-30T18:26:52Z</dcterms:modified>
  <cp:category/>
  <cp:version/>
  <cp:contentType/>
  <cp:contentStatus/>
</cp:coreProperties>
</file>